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faktur'!$5:$6</definedName>
    <definedName name="NEINV">'číselníky'!$A$1:$A$51</definedName>
    <definedName name="_xlnm.Print_Area" localSheetId="1">'Přehled smluv a faktur'!$A$1:$V$120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  <author>solovevovaj</author>
  </authors>
  <commentList>
    <comment ref="F5" authorId="0">
      <text>
        <r>
          <rPr>
            <sz val="8"/>
            <rFont val="Tahoma"/>
            <family val="0"/>
          </rPr>
          <t xml:space="preserve">Datum uznatelného zdanitelného plnění
</t>
        </r>
      </text>
    </comment>
    <comment ref="N5" authorId="1">
      <text>
        <r>
          <rPr>
            <sz val="8"/>
            <rFont val="Tahoma"/>
            <family val="0"/>
          </rPr>
          <t xml:space="preserve">Nezadávat u nezpůsobilých výdajů
</t>
        </r>
      </text>
    </comment>
    <comment ref="E5" authorId="2">
      <text>
        <r>
          <rPr>
            <sz val="8"/>
            <rFont val="Tahoma"/>
            <family val="2"/>
          </rPr>
          <t>vyplňte evideční číslo projektu v EDS ve formátu 
113D34Bxxxxxx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0"/>
          </rPr>
          <t xml:space="preserve">např. kolaudační souhlas, předávací protokol, 
</t>
        </r>
      </text>
    </comment>
  </commentList>
</comments>
</file>

<file path=xl/sharedStrings.xml><?xml version="1.0" encoding="utf-8"?>
<sst xmlns="http://schemas.openxmlformats.org/spreadsheetml/2006/main" count="382" uniqueCount="252">
  <si>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</si>
  <si>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</si>
  <si>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</si>
  <si>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</si>
  <si>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</si>
  <si>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</si>
  <si>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</si>
  <si>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</si>
  <si>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</si>
  <si>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</si>
  <si>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</si>
  <si>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</si>
  <si>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</si>
  <si>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</si>
  <si>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</si>
  <si>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</si>
  <si>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</si>
  <si>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</si>
  <si>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</si>
  <si>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</si>
  <si>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</si>
  <si>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</si>
  <si>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</si>
  <si>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</si>
  <si>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</si>
  <si>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</si>
  <si>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</si>
  <si>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</si>
  <si>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</si>
  <si>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</si>
  <si>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</si>
  <si>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</si>
  <si>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</si>
  <si>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</si>
  <si>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</si>
  <si>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</si>
  <si>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</si>
  <si>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</si>
  <si>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</si>
  <si>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</si>
  <si>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</si>
  <si>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</si>
  <si>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</si>
  <si>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</si>
  <si>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</si>
  <si>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</si>
  <si>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</si>
  <si>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</si>
  <si>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</si>
  <si>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</si>
  <si>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</si>
  <si>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</si>
  <si>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</si>
  <si>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</si>
  <si>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</si>
  <si>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</si>
  <si>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</si>
  <si>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</si>
  <si>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</si>
  <si>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</si>
  <si>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</si>
  <si>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</si>
  <si>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</si>
  <si>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</si>
  <si>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</si>
  <si>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</si>
  <si>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</si>
  <si>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</si>
  <si>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</si>
  <si>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</si>
  <si>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</si>
  <si>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</si>
  <si>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</si>
  <si>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</si>
  <si>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</si>
  <si>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</si>
  <si>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</si>
  <si>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</si>
  <si>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</si>
  <si>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</si>
  <si>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</si>
  <si>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</si>
  <si>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</si>
  <si>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</si>
  <si>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</si>
  <si>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</si>
  <si>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</si>
  <si>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</si>
  <si>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</si>
  <si>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</si>
  <si>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ZDROJ FINANCOVÁNÍ</t>
  </si>
  <si>
    <t>číslo dokladu (faktury)</t>
  </si>
  <si>
    <t>dodavatel</t>
  </si>
  <si>
    <t>IČ</t>
  </si>
  <si>
    <t>NEINV</t>
  </si>
  <si>
    <t>INV</t>
  </si>
  <si>
    <t>Územní samospráva</t>
  </si>
  <si>
    <t>Jiné zdroje</t>
  </si>
  <si>
    <t>Koŕekce bez DPH</t>
  </si>
  <si>
    <t>Korekce o DPH</t>
  </si>
  <si>
    <t>Způsobilé výdaje</t>
  </si>
  <si>
    <t>Nezpůsobilé výdaje</t>
  </si>
  <si>
    <t>BILANCE ZDROJŮ FINANCOVÁNÍ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</si>
  <si>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</si>
  <si>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</si>
  <si>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</si>
  <si>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</si>
  <si>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</si>
  <si>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</si>
  <si>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</si>
  <si>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</si>
  <si>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</si>
  <si>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</si>
  <si>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</si>
  <si>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</si>
  <si>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</si>
  <si>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</si>
  <si>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</si>
  <si>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</si>
  <si>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</si>
  <si>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</si>
  <si>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</si>
  <si>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</si>
  <si>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</si>
  <si>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</si>
  <si>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</si>
  <si>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</si>
  <si>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</si>
  <si>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</si>
  <si>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</si>
  <si>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</si>
  <si>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</si>
  <si>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</si>
  <si>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</si>
  <si>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</si>
  <si>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</si>
  <si>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</si>
  <si>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</si>
  <si>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</si>
  <si>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</si>
  <si>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</si>
  <si>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</si>
  <si>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</si>
  <si>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</si>
  <si>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</si>
  <si>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</si>
  <si>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</si>
  <si>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</si>
  <si>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</si>
  <si>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</si>
  <si>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</si>
  <si>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</si>
  <si>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</si>
  <si>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</si>
  <si>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</si>
  <si>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</si>
  <si>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</si>
  <si>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</si>
  <si>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</si>
  <si>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</si>
  <si>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</si>
  <si>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</si>
  <si>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</si>
  <si>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</si>
  <si>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</si>
  <si>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</si>
  <si>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</si>
  <si>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</si>
  <si>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</si>
  <si>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</si>
  <si>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</si>
  <si>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</si>
  <si>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</si>
  <si>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</si>
  <si>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</si>
  <si>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</si>
  <si>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</si>
  <si>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</si>
  <si>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</si>
  <si>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</si>
  <si>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</si>
  <si>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</si>
  <si>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</si>
  <si>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</si>
  <si>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</si>
  <si>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>S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</si>
  <si>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</si>
  <si>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</si>
  <si>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</si>
  <si>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</si>
  <si>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</si>
  <si>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</si>
  <si>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</si>
  <si>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0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</si>
  <si>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</si>
  <si>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</si>
  <si>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</si>
  <si>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</si>
  <si>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</si>
  <si>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</si>
  <si>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</si>
  <si>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0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</si>
  <si>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</si>
  <si>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</si>
  <si>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</si>
  <si>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</si>
  <si>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</si>
  <si>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</si>
  <si>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0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</si>
  <si>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</si>
  <si>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</si>
  <si>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</si>
  <si>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</si>
  <si>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</si>
  <si>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</si>
  <si>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</si>
  <si>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</si>
  <si>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</si>
  <si>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</si>
  <si>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</si>
  <si>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</si>
  <si>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</si>
  <si>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</si>
  <si>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</si>
  <si>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</si>
  <si>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</si>
  <si>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</si>
  <si>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</si>
  <si>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</si>
  <si>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</si>
  <si>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</si>
  <si>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</si>
  <si>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</si>
  <si>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</si>
  <si>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</si>
  <si>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</si>
  <si>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</si>
  <si>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</si>
  <si>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</si>
  <si>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</si>
  <si>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</si>
  <si>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</si>
  <si>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</si>
  <si>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</si>
  <si>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</si>
  <si>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</si>
  <si>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Způsobilé výdaje po korekci</t>
  </si>
  <si>
    <t>Způsobilé výdaje vyplacené přes limitku</t>
  </si>
  <si>
    <t>Způsobilé výdaje nevyplacené přes limitku</t>
  </si>
  <si>
    <t>Poř. číslo</t>
  </si>
  <si>
    <t>RPD</t>
  </si>
  <si>
    <t>VYPLŇUJE CRR/MPSV - KOREKCE VÝDAJŮ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</si>
</sst>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</numFmts>
  <fonts count="29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Symbol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hair"/>
      <right>
        <color indexed="63"/>
      </right>
      <top style="hair"/>
      <bottom style="hair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top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horizontal="center" vertical="top" wrapText="1"/>
      <protection hidden="1"/>
    </xf>
    <xf numFmtId="3" fontId="4" fillId="0" borderId="0" xfId="20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locked="0"/>
    </xf>
    <xf numFmtId="49" fontId="7" fillId="2" borderId="3" xfId="0" applyNumberFormat="1" applyFont="1" applyFill="1" applyBorder="1" applyAlignment="1" applyProtection="1">
      <alignment horizontal="center"/>
      <protection hidden="1" locked="0"/>
    </xf>
    <xf numFmtId="4" fontId="4" fillId="2" borderId="4" xfId="0" applyNumberFormat="1" applyFont="1" applyFill="1" applyBorder="1" applyAlignment="1" applyProtection="1">
      <alignment horizontal="center" vertical="center"/>
      <protection hidden="1" locked="0"/>
    </xf>
    <xf numFmtId="0" fontId="4" fillId="3" borderId="1" xfId="0" applyFont="1" applyFill="1" applyBorder="1" applyAlignment="1" applyProtection="1">
      <alignment horizontal="center" vertical="center" wrapText="1"/>
      <protection hidden="1" locked="0"/>
    </xf>
    <xf numFmtId="0" fontId="4" fillId="3" borderId="5" xfId="0" applyFont="1" applyFill="1" applyBorder="1" applyAlignment="1" applyProtection="1">
      <alignment horizontal="center" vertical="center" wrapText="1"/>
      <protection hidden="1"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" borderId="6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" borderId="6" xfId="0" applyNumberFormat="1" applyFont="1" applyFill="1" applyBorder="1" applyAlignment="1" applyProtection="1">
      <alignment horizontal="center" vertical="top" wrapText="1"/>
      <protection hidden="1" locked="0"/>
    </xf>
    <xf numFmtId="4" fontId="4" fillId="3" borderId="1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5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vertical="center"/>
      <protection hidden="1" locked="0"/>
    </xf>
    <xf numFmtId="49" fontId="4" fillId="0" borderId="5" xfId="0" applyNumberFormat="1" applyFont="1" applyBorder="1" applyAlignment="1" applyProtection="1">
      <alignment vertical="center"/>
      <protection hidden="1" locked="0"/>
    </xf>
    <xf numFmtId="49" fontId="4" fillId="0" borderId="1" xfId="0" applyNumberFormat="1" applyFont="1" applyBorder="1" applyAlignment="1" applyProtection="1">
      <alignment vertical="center"/>
      <protection hidden="1" locked="0"/>
    </xf>
    <xf numFmtId="49" fontId="4" fillId="0" borderId="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" xfId="0" applyNumberFormat="1" applyFont="1" applyBorder="1" applyAlignment="1" applyProtection="1">
      <alignment vertical="center"/>
      <protection hidden="1" locked="0"/>
    </xf>
    <xf numFmtId="40" fontId="4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4" borderId="1" xfId="0" applyNumberFormat="1" applyFont="1" applyFill="1" applyBorder="1" applyAlignment="1" applyProtection="1">
      <alignment vertical="center"/>
      <protection hidden="1" locked="0"/>
    </xf>
    <xf numFmtId="2" fontId="4" fillId="2" borderId="6" xfId="0" applyNumberFormat="1" applyFont="1" applyFill="1" applyBorder="1" applyAlignment="1" applyProtection="1">
      <alignment vertical="center"/>
      <protection hidden="1" locked="0"/>
    </xf>
    <xf numFmtId="2" fontId="4" fillId="2" borderId="6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5" xfId="0" applyNumberFormat="1" applyFont="1" applyBorder="1" applyAlignment="1" applyProtection="1">
      <alignment horizontal="center" vertical="center" textRotation="90"/>
      <protection locked="0"/>
    </xf>
    <xf numFmtId="49" fontId="0" fillId="0" borderId="1" xfId="0" applyNumberFormat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" xfId="0" applyNumberFormat="1" applyFont="1" applyBorder="1" applyAlignment="1" applyProtection="1">
      <alignment horizontal="right" vertical="center"/>
      <protection hidden="1" locked="0"/>
    </xf>
    <xf numFmtId="40" fontId="4" fillId="4" borderId="1" xfId="0" applyNumberFormat="1" applyFont="1" applyFill="1" applyBorder="1" applyAlignment="1" applyProtection="1">
      <alignment vertical="center"/>
      <protection hidden="1" locked="0"/>
    </xf>
    <xf numFmtId="49" fontId="4" fillId="0" borderId="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7" xfId="0" applyNumberFormat="1" applyFont="1" applyBorder="1" applyAlignment="1" applyProtection="1">
      <alignment horizontal="center" vertical="center" textRotation="90"/>
      <protection locked="0"/>
    </xf>
    <xf numFmtId="49" fontId="4" fillId="0" borderId="8" xfId="0" applyNumberFormat="1" applyFont="1" applyBorder="1" applyAlignment="1" applyProtection="1">
      <alignment horizontal="center" vertical="center"/>
      <protection hidden="1" locked="0"/>
    </xf>
    <xf numFmtId="49" fontId="4" fillId="0" borderId="7" xfId="0" applyNumberFormat="1" applyFont="1" applyBorder="1" applyAlignment="1" applyProtection="1">
      <alignment vertical="center"/>
      <protection hidden="1" locked="0"/>
    </xf>
    <xf numFmtId="49" fontId="4" fillId="0" borderId="8" xfId="0" applyNumberFormat="1" applyFont="1" applyBorder="1" applyAlignment="1" applyProtection="1">
      <alignment vertical="center"/>
      <protection hidden="1" locked="0"/>
    </xf>
    <xf numFmtId="49" fontId="4" fillId="0" borderId="8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8" xfId="0" applyNumberFormat="1" applyFont="1" applyBorder="1" applyAlignment="1" applyProtection="1">
      <alignment horizontal="right" vertical="center"/>
      <protection hidden="1" locked="0"/>
    </xf>
    <xf numFmtId="165" fontId="4" fillId="0" borderId="8" xfId="0" applyNumberFormat="1" applyFont="1" applyBorder="1" applyAlignment="1" applyProtection="1">
      <alignment vertical="center"/>
      <protection hidden="1" locked="0"/>
    </xf>
    <xf numFmtId="165" fontId="13" fillId="3" borderId="9" xfId="0" applyNumberFormat="1" applyFont="1" applyFill="1" applyBorder="1" applyAlignment="1" applyProtection="1">
      <alignment horizontal="right" vertical="center"/>
      <protection hidden="1" locked="0"/>
    </xf>
    <xf numFmtId="165" fontId="13" fillId="3" borderId="9" xfId="0" applyNumberFormat="1" applyFont="1" applyFill="1" applyBorder="1" applyAlignment="1" applyProtection="1">
      <alignment vertical="center"/>
      <protection hidden="1" locked="0"/>
    </xf>
    <xf numFmtId="165" fontId="13" fillId="3" borderId="5" xfId="0" applyNumberFormat="1" applyFont="1" applyFill="1" applyBorder="1" applyAlignment="1" applyProtection="1">
      <alignment vertical="center"/>
      <protection hidden="1" locked="0"/>
    </xf>
    <xf numFmtId="165" fontId="13" fillId="3" borderId="1" xfId="0" applyNumberFormat="1" applyFont="1" applyFill="1" applyBorder="1" applyAlignment="1" applyProtection="1">
      <alignment vertical="center"/>
      <protection hidden="1" locked="0"/>
    </xf>
    <xf numFmtId="3" fontId="4" fillId="3" borderId="1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0" xfId="0" applyNumberFormat="1" applyFont="1" applyBorder="1" applyAlignment="1" applyProtection="1">
      <alignment/>
      <protection locked="0"/>
    </xf>
    <xf numFmtId="49" fontId="4" fillId="0" borderId="6" xfId="0" applyNumberFormat="1" applyFont="1" applyBorder="1" applyAlignment="1" applyProtection="1">
      <alignment horizontal="center"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6" xfId="0" applyNumberFormat="1" applyFont="1" applyBorder="1" applyAlignment="1" applyProtection="1">
      <alignment vertical="center"/>
      <protection hidden="1" locked="0"/>
    </xf>
    <xf numFmtId="165" fontId="4" fillId="0" borderId="6" xfId="0" applyNumberFormat="1" applyFont="1" applyBorder="1" applyAlignment="1" applyProtection="1">
      <alignment horizontal="right" vertical="center"/>
      <protection hidden="1" locked="0"/>
    </xf>
    <xf numFmtId="165" fontId="4" fillId="0" borderId="6" xfId="0" applyNumberFormat="1" applyFont="1" applyBorder="1" applyAlignment="1" applyProtection="1">
      <alignment vertical="center"/>
      <protection hidden="1" locked="0"/>
    </xf>
    <xf numFmtId="49" fontId="0" fillId="0" borderId="5" xfId="0" applyNumberFormat="1" applyBorder="1" applyAlignment="1" applyProtection="1">
      <alignment horizontal="center" vertical="center" textRotation="90"/>
      <protection locked="0"/>
    </xf>
    <xf numFmtId="49" fontId="0" fillId="0" borderId="7" xfId="0" applyNumberForma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2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165" fontId="15" fillId="5" borderId="7" xfId="0" applyNumberFormat="1" applyFont="1" applyFill="1" applyBorder="1" applyAlignment="1" applyProtection="1">
      <alignment horizontal="right" vertical="center"/>
      <protection hidden="1" locked="0"/>
    </xf>
    <xf numFmtId="165" fontId="15" fillId="5" borderId="8" xfId="0" applyNumberFormat="1" applyFont="1" applyFill="1" applyBorder="1" applyAlignment="1" applyProtection="1">
      <alignment horizontal="right" vertical="center"/>
      <protection hidden="1" locked="0"/>
    </xf>
    <xf numFmtId="2" fontId="15" fillId="2" borderId="8" xfId="0" applyNumberFormat="1" applyFont="1" applyFill="1" applyBorder="1" applyAlignment="1" applyProtection="1">
      <alignment horizontal="right" vertical="center"/>
      <protection hidden="1" locked="0"/>
    </xf>
    <xf numFmtId="165" fontId="7" fillId="3" borderId="8" xfId="0" applyNumberFormat="1" applyFont="1" applyFill="1" applyBorder="1" applyAlignment="1" applyProtection="1">
      <alignment horizontal="right"/>
      <protection hidden="1" locked="0"/>
    </xf>
    <xf numFmtId="165" fontId="7" fillId="3" borderId="1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6" borderId="11" xfId="0" applyFont="1" applyFill="1" applyBorder="1" applyAlignment="1" applyProtection="1">
      <alignment/>
      <protection locked="0"/>
    </xf>
    <xf numFmtId="165" fontId="13" fillId="6" borderId="9" xfId="0" applyNumberFormat="1" applyFont="1" applyFill="1" applyBorder="1" applyAlignment="1" applyProtection="1">
      <alignment horizontal="right" vertical="center"/>
      <protection hidden="1" locked="0"/>
    </xf>
    <xf numFmtId="165" fontId="13" fillId="6" borderId="9" xfId="0" applyNumberFormat="1" applyFont="1" applyFill="1" applyBorder="1" applyAlignment="1" applyProtection="1">
      <alignment vertical="center"/>
      <protection hidden="1" locked="0"/>
    </xf>
    <xf numFmtId="165" fontId="7" fillId="6" borderId="11" xfId="0" applyNumberFormat="1" applyFont="1" applyFill="1" applyBorder="1" applyAlignment="1" applyProtection="1">
      <alignment vertical="center"/>
      <protection hidden="1" locked="0"/>
    </xf>
    <xf numFmtId="165" fontId="7" fillId="6" borderId="12" xfId="0" applyNumberFormat="1" applyFont="1" applyFill="1" applyBorder="1" applyAlignment="1" applyProtection="1">
      <alignment vertical="center"/>
      <protection hidden="1" locked="0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vertical="center"/>
      <protection locked="0"/>
    </xf>
    <xf numFmtId="165" fontId="13" fillId="6" borderId="3" xfId="0" applyNumberFormat="1" applyFont="1" applyFill="1" applyBorder="1" applyAlignment="1" applyProtection="1">
      <alignment vertical="center"/>
      <protection hidden="1" locked="0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5" borderId="14" xfId="0" applyNumberFormat="1" applyFont="1" applyFill="1" applyBorder="1" applyAlignment="1" applyProtection="1">
      <alignment horizontal="center" vertical="center"/>
      <protection hidden="1"/>
    </xf>
    <xf numFmtId="49" fontId="12" fillId="5" borderId="15" xfId="0" applyNumberFormat="1" applyFont="1" applyFill="1" applyBorder="1" applyAlignment="1" applyProtection="1">
      <alignment horizontal="center"/>
      <protection hidden="1"/>
    </xf>
    <xf numFmtId="49" fontId="12" fillId="5" borderId="16" xfId="0" applyNumberFormat="1" applyFont="1" applyFill="1" applyBorder="1" applyAlignment="1" applyProtection="1">
      <alignment horizontal="center"/>
      <protection hidden="1"/>
    </xf>
    <xf numFmtId="4" fontId="7" fillId="5" borderId="17" xfId="0" applyNumberFormat="1" applyFont="1" applyFill="1" applyBorder="1" applyAlignment="1" applyProtection="1">
      <alignment wrapText="1"/>
      <protection hidden="1"/>
    </xf>
    <xf numFmtId="165" fontId="4" fillId="0" borderId="1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4" xfId="0" applyFont="1" applyBorder="1" applyAlignment="1" applyProtection="1">
      <alignment vertical="justify" wrapText="1" shrinkToFit="1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2" fontId="4" fillId="0" borderId="6" xfId="0" applyNumberFormat="1" applyFont="1" applyFill="1" applyBorder="1" applyAlignment="1" applyProtection="1">
      <alignment vertical="center"/>
      <protection hidden="1" locked="0"/>
    </xf>
    <xf numFmtId="2" fontId="4" fillId="0" borderId="6" xfId="0" applyNumberFormat="1" applyFont="1" applyFill="1" applyBorder="1" applyAlignment="1" applyProtection="1">
      <alignment horizontal="right" vertical="center"/>
      <protection hidden="1" locked="0"/>
    </xf>
    <xf numFmtId="3" fontId="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165" fontId="4" fillId="0" borderId="13" xfId="0" applyNumberFormat="1" applyFont="1" applyBorder="1" applyAlignment="1" applyProtection="1">
      <alignment vertical="center"/>
      <protection hidden="1" locked="0"/>
    </xf>
    <xf numFmtId="165" fontId="21" fillId="0" borderId="8" xfId="0" applyNumberFormat="1" applyFont="1" applyFill="1" applyBorder="1" applyAlignment="1" applyProtection="1">
      <alignment horizontal="right" vertical="center"/>
      <protection hidden="1" locked="0"/>
    </xf>
    <xf numFmtId="165" fontId="21" fillId="4" borderId="5" xfId="0" applyNumberFormat="1" applyFont="1" applyFill="1" applyBorder="1" applyAlignment="1" applyProtection="1">
      <alignment vertical="center"/>
      <protection hidden="1" locked="0"/>
    </xf>
    <xf numFmtId="165" fontId="21" fillId="4" borderId="1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7" borderId="22" xfId="0" applyFont="1" applyFill="1" applyBorder="1" applyAlignment="1">
      <alignment horizontal="left"/>
    </xf>
    <xf numFmtId="0" fontId="22" fillId="7" borderId="22" xfId="0" applyFont="1" applyFill="1" applyBorder="1" applyAlignment="1">
      <alignment/>
    </xf>
    <xf numFmtId="0" fontId="22" fillId="0" borderId="0" xfId="0" applyFont="1" applyAlignment="1">
      <alignment/>
    </xf>
    <xf numFmtId="0" fontId="22" fillId="7" borderId="22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2" fillId="7" borderId="24" xfId="0" applyFont="1" applyFill="1" applyBorder="1" applyAlignment="1">
      <alignment/>
    </xf>
    <xf numFmtId="0" fontId="22" fillId="0" borderId="22" xfId="0" applyFont="1" applyBorder="1" applyAlignment="1">
      <alignment/>
    </xf>
    <xf numFmtId="165" fontId="22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39" fontId="22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29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7" borderId="29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29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29" xfId="0" applyFont="1" applyBorder="1" applyAlignment="1">
      <alignment horizontal="center"/>
    </xf>
    <xf numFmtId="173" fontId="26" fillId="0" borderId="29" xfId="0" applyNumberFormat="1" applyFont="1" applyBorder="1" applyAlignment="1">
      <alignment/>
    </xf>
    <xf numFmtId="44" fontId="26" fillId="0" borderId="29" xfId="18" applyFont="1" applyBorder="1" applyAlignment="1">
      <alignment/>
    </xf>
    <xf numFmtId="174" fontId="25" fillId="0" borderId="29" xfId="0" applyNumberFormat="1" applyFont="1" applyBorder="1" applyAlignment="1">
      <alignment/>
    </xf>
    <xf numFmtId="0" fontId="25" fillId="0" borderId="29" xfId="0" applyFont="1" applyBorder="1" applyAlignment="1">
      <alignment/>
    </xf>
    <xf numFmtId="44" fontId="25" fillId="0" borderId="29" xfId="18" applyFont="1" applyBorder="1" applyAlignment="1">
      <alignment/>
    </xf>
    <xf numFmtId="44" fontId="25" fillId="0" borderId="29" xfId="0" applyNumberFormat="1" applyFont="1" applyBorder="1" applyAlignment="1">
      <alignment/>
    </xf>
    <xf numFmtId="174" fontId="25" fillId="0" borderId="29" xfId="0" applyNumberFormat="1" applyFont="1" applyBorder="1" applyAlignment="1">
      <alignment horizontal="left"/>
    </xf>
    <xf numFmtId="0" fontId="26" fillId="0" borderId="30" xfId="0" applyFont="1" applyBorder="1" applyAlignment="1">
      <alignment/>
    </xf>
    <xf numFmtId="0" fontId="26" fillId="0" borderId="25" xfId="0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2" xfId="0" applyNumberFormat="1" applyFont="1" applyBorder="1" applyAlignment="1">
      <alignment/>
    </xf>
    <xf numFmtId="44" fontId="25" fillId="0" borderId="33" xfId="0" applyNumberFormat="1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0" fontId="25" fillId="0" borderId="36" xfId="0" applyFont="1" applyBorder="1" applyAlignment="1">
      <alignment/>
    </xf>
    <xf numFmtId="44" fontId="25" fillId="0" borderId="37" xfId="0" applyNumberFormat="1" applyFont="1" applyBorder="1" applyAlignment="1">
      <alignment/>
    </xf>
    <xf numFmtId="44" fontId="25" fillId="0" borderId="38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44" fontId="23" fillId="0" borderId="39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27" fillId="7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7" borderId="8" xfId="0" applyNumberFormat="1" applyFont="1" applyFill="1" applyBorder="1" applyAlignment="1">
      <alignment/>
    </xf>
    <xf numFmtId="14" fontId="23" fillId="7" borderId="8" xfId="0" applyNumberFormat="1" applyFont="1" applyFill="1" applyBorder="1" applyAlignment="1">
      <alignment horizontal="left"/>
    </xf>
    <xf numFmtId="49" fontId="22" fillId="0" borderId="40" xfId="0" applyNumberFormat="1" applyFont="1" applyBorder="1" applyAlignment="1">
      <alignment/>
    </xf>
    <xf numFmtId="14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14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7" borderId="44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49" fontId="23" fillId="7" borderId="8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/>
    </xf>
    <xf numFmtId="14" fontId="22" fillId="0" borderId="42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47" xfId="0" applyFont="1" applyBorder="1" applyAlignment="1">
      <alignment/>
    </xf>
    <xf numFmtId="14" fontId="22" fillId="0" borderId="43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7" borderId="1" xfId="0" applyFont="1" applyFill="1" applyBorder="1" applyAlignment="1">
      <alignment horizontal="center" vertical="center"/>
    </xf>
    <xf numFmtId="49" fontId="23" fillId="7" borderId="1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/>
    </xf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45" xfId="0" applyFont="1" applyBorder="1" applyAlignment="1">
      <alignment/>
    </xf>
    <xf numFmtId="3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49" xfId="0" applyFont="1" applyBorder="1" applyAlignment="1">
      <alignment/>
    </xf>
    <xf numFmtId="49" fontId="22" fillId="0" borderId="6" xfId="0" applyNumberFormat="1" applyFont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42" xfId="0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50" xfId="0" applyFont="1" applyBorder="1" applyAlignment="1">
      <alignment/>
    </xf>
    <xf numFmtId="49" fontId="22" fillId="0" borderId="50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" xfId="0" applyFont="1" applyBorder="1" applyAlignment="1">
      <alignment/>
    </xf>
    <xf numFmtId="49" fontId="22" fillId="0" borderId="4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7" borderId="1" xfId="0" applyFont="1" applyFill="1" applyBorder="1" applyAlignment="1">
      <alignment horizontal="centerContinuous" vertical="center"/>
    </xf>
    <xf numFmtId="14" fontId="22" fillId="0" borderId="40" xfId="0" applyNumberFormat="1" applyFont="1" applyBorder="1" applyAlignment="1">
      <alignment/>
    </xf>
    <xf numFmtId="14" fontId="22" fillId="0" borderId="42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18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65" fontId="22" fillId="0" borderId="24" xfId="0" applyNumberFormat="1" applyFont="1" applyBorder="1" applyAlignment="1">
      <alignment/>
    </xf>
    <xf numFmtId="1" fontId="26" fillId="0" borderId="29" xfId="0" applyNumberFormat="1" applyFont="1" applyBorder="1" applyAlignment="1">
      <alignment/>
    </xf>
    <xf numFmtId="1" fontId="25" fillId="0" borderId="29" xfId="0" applyNumberFormat="1" applyFont="1" applyBorder="1" applyAlignment="1">
      <alignment/>
    </xf>
    <xf numFmtId="1" fontId="26" fillId="0" borderId="29" xfId="0" applyNumberFormat="1" applyFont="1" applyBorder="1" applyAlignment="1">
      <alignment/>
    </xf>
    <xf numFmtId="0" fontId="26" fillId="0" borderId="29" xfId="0" applyFont="1" applyBorder="1" applyAlignment="1">
      <alignment/>
    </xf>
    <xf numFmtId="44" fontId="26" fillId="0" borderId="29" xfId="18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2" xfId="0" applyNumberFormat="1" applyFont="1" applyFill="1" applyBorder="1" applyAlignment="1">
      <alignment/>
    </xf>
    <xf numFmtId="0" fontId="23" fillId="7" borderId="22" xfId="0" applyFont="1" applyFill="1" applyBorder="1" applyAlignment="1">
      <alignment horizontal="left"/>
    </xf>
    <xf numFmtId="4" fontId="22" fillId="0" borderId="29" xfId="0" applyNumberFormat="1" applyFont="1" applyBorder="1" applyAlignment="1">
      <alignment/>
    </xf>
    <xf numFmtId="0" fontId="22" fillId="0" borderId="29" xfId="0" applyFont="1" applyBorder="1" applyAlignment="1">
      <alignment/>
    </xf>
    <xf numFmtId="4" fontId="22" fillId="0" borderId="29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4" fontId="23" fillId="0" borderId="29" xfId="0" applyNumberFormat="1" applyFont="1" applyBorder="1" applyAlignment="1">
      <alignment horizontal="center"/>
    </xf>
    <xf numFmtId="0" fontId="22" fillId="7" borderId="53" xfId="0" applyFont="1" applyFill="1" applyBorder="1" applyAlignment="1">
      <alignment horizontal="left"/>
    </xf>
    <xf numFmtId="0" fontId="22" fillId="7" borderId="53" xfId="0" applyFont="1" applyFill="1" applyBorder="1" applyAlignment="1">
      <alignment/>
    </xf>
    <xf numFmtId="165" fontId="22" fillId="0" borderId="22" xfId="0" applyNumberFormat="1" applyFont="1" applyBorder="1" applyAlignment="1" applyProtection="1">
      <alignment/>
      <protection/>
    </xf>
    <xf numFmtId="165" fontId="22" fillId="0" borderId="24" xfId="0" applyNumberFormat="1" applyFont="1" applyBorder="1" applyAlignment="1" applyProtection="1">
      <alignment/>
      <protection/>
    </xf>
    <xf numFmtId="44" fontId="22" fillId="0" borderId="22" xfId="18" applyFont="1" applyFill="1" applyBorder="1" applyAlignment="1" applyProtection="1">
      <alignment/>
      <protection/>
    </xf>
    <xf numFmtId="44" fontId="22" fillId="0" borderId="22" xfId="18" applyFont="1" applyBorder="1" applyAlignment="1" applyProtection="1">
      <alignment/>
      <protection/>
    </xf>
    <xf numFmtId="44" fontId="23" fillId="0" borderId="22" xfId="18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 locked="0"/>
    </xf>
    <xf numFmtId="0" fontId="22" fillId="0" borderId="53" xfId="0" applyFont="1" applyBorder="1" applyAlignment="1" applyProtection="1">
      <alignment/>
      <protection locked="0"/>
    </xf>
    <xf numFmtId="0" fontId="22" fillId="0" borderId="22" xfId="18" applyNumberFormat="1" applyFont="1" applyBorder="1" applyAlignment="1" applyProtection="1">
      <alignment/>
      <protection locked="0"/>
    </xf>
    <xf numFmtId="172" fontId="22" fillId="0" borderId="22" xfId="18" applyNumberFormat="1" applyFont="1" applyBorder="1" applyAlignment="1" applyProtection="1">
      <alignment/>
      <protection locked="0"/>
    </xf>
    <xf numFmtId="172" fontId="22" fillId="0" borderId="54" xfId="0" applyNumberFormat="1" applyFont="1" applyBorder="1" applyAlignment="1" applyProtection="1">
      <alignment horizontal="center" vertical="center"/>
      <protection locked="0"/>
    </xf>
    <xf numFmtId="165" fontId="22" fillId="0" borderId="22" xfId="0" applyNumberFormat="1" applyFont="1" applyBorder="1" applyAlignment="1" applyProtection="1">
      <alignment/>
      <protection locked="0"/>
    </xf>
    <xf numFmtId="164" fontId="22" fillId="0" borderId="22" xfId="0" applyNumberFormat="1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53" xfId="0" applyFont="1" applyBorder="1" applyAlignment="1" applyProtection="1">
      <alignment/>
      <protection locked="0"/>
    </xf>
    <xf numFmtId="0" fontId="22" fillId="0" borderId="53" xfId="0" applyFont="1" applyBorder="1" applyAlignment="1" applyProtection="1">
      <alignment vertical="center"/>
      <protection locked="0"/>
    </xf>
    <xf numFmtId="0" fontId="23" fillId="0" borderId="22" xfId="18" applyNumberFormat="1" applyFont="1" applyBorder="1" applyAlignment="1" applyProtection="1">
      <alignment/>
      <protection locked="0"/>
    </xf>
    <xf numFmtId="172" fontId="23" fillId="0" borderId="22" xfId="18" applyNumberFormat="1" applyFont="1" applyBorder="1" applyAlignment="1" applyProtection="1">
      <alignment/>
      <protection locked="0"/>
    </xf>
    <xf numFmtId="0" fontId="22" fillId="0" borderId="53" xfId="0" applyFont="1" applyBorder="1" applyAlignment="1" applyProtection="1">
      <alignment wrapText="1"/>
      <protection locked="0"/>
    </xf>
    <xf numFmtId="0" fontId="23" fillId="0" borderId="22" xfId="0" applyNumberFormat="1" applyFont="1" applyBorder="1" applyAlignment="1" applyProtection="1">
      <alignment/>
      <protection locked="0"/>
    </xf>
    <xf numFmtId="172" fontId="23" fillId="0" borderId="22" xfId="0" applyNumberFormat="1" applyFont="1" applyBorder="1" applyAlignment="1" applyProtection="1">
      <alignment/>
      <protection locked="0"/>
    </xf>
    <xf numFmtId="0" fontId="22" fillId="0" borderId="22" xfId="0" applyNumberFormat="1" applyFont="1" applyBorder="1" applyAlignment="1" applyProtection="1">
      <alignment/>
      <protection locked="0"/>
    </xf>
    <xf numFmtId="172" fontId="22" fillId="0" borderId="22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72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52" xfId="0" applyFont="1" applyBorder="1" applyAlignment="1" applyProtection="1">
      <alignment vertical="center" wrapText="1"/>
      <protection locked="0"/>
    </xf>
    <xf numFmtId="0" fontId="22" fillId="0" borderId="52" xfId="0" applyFont="1" applyBorder="1" applyAlignment="1" applyProtection="1">
      <alignment vertical="center"/>
      <protection locked="0"/>
    </xf>
    <xf numFmtId="0" fontId="22" fillId="0" borderId="55" xfId="0" applyFont="1" applyBorder="1" applyAlignment="1" applyProtection="1">
      <alignment vertical="center" wrapText="1"/>
      <protection locked="0"/>
    </xf>
    <xf numFmtId="0" fontId="22" fillId="0" borderId="55" xfId="0" applyFont="1" applyBorder="1" applyAlignment="1" applyProtection="1">
      <alignment vertical="center"/>
      <protection locked="0"/>
    </xf>
    <xf numFmtId="165" fontId="22" fillId="0" borderId="53" xfId="0" applyNumberFormat="1" applyFont="1" applyBorder="1" applyAlignment="1" applyProtection="1">
      <alignment/>
      <protection locked="0"/>
    </xf>
    <xf numFmtId="165" fontId="22" fillId="0" borderId="24" xfId="0" applyNumberFormat="1" applyFont="1" applyBorder="1" applyAlignment="1" applyProtection="1">
      <alignment/>
      <protection locked="0"/>
    </xf>
    <xf numFmtId="165" fontId="22" fillId="0" borderId="23" xfId="0" applyNumberFormat="1" applyFont="1" applyBorder="1" applyAlignment="1" applyProtection="1">
      <alignment/>
      <protection locked="0"/>
    </xf>
    <xf numFmtId="165" fontId="23" fillId="0" borderId="23" xfId="0" applyNumberFormat="1" applyFont="1" applyBorder="1" applyAlignment="1" applyProtection="1">
      <alignment/>
      <protection locked="0"/>
    </xf>
    <xf numFmtId="165" fontId="23" fillId="0" borderId="22" xfId="0" applyNumberFormat="1" applyFont="1" applyBorder="1" applyAlignment="1" applyProtection="1">
      <alignment/>
      <protection locked="0"/>
    </xf>
    <xf numFmtId="166" fontId="3" fillId="5" borderId="56" xfId="0" applyNumberFormat="1" applyFont="1" applyFill="1" applyBorder="1" applyAlignment="1" applyProtection="1">
      <alignment vertical="center"/>
      <protection hidden="1"/>
    </xf>
    <xf numFmtId="166" fontId="3" fillId="5" borderId="57" xfId="0" applyNumberFormat="1" applyFont="1" applyFill="1" applyBorder="1" applyAlignment="1" applyProtection="1">
      <alignment vertical="center"/>
      <protection hidden="1"/>
    </xf>
    <xf numFmtId="166" fontId="3" fillId="5" borderId="58" xfId="0" applyNumberFormat="1" applyFont="1" applyFill="1" applyBorder="1" applyAlignment="1" applyProtection="1">
      <alignment vertical="center"/>
      <protection hidden="1"/>
    </xf>
    <xf numFmtId="165" fontId="4" fillId="0" borderId="5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0" xfId="0" applyNumberFormat="1" applyFont="1" applyFill="1" applyBorder="1" applyAlignment="1" applyProtection="1">
      <alignment horizontal="center" vertical="top" wrapText="1"/>
      <protection hidden="1" locked="0"/>
    </xf>
    <xf numFmtId="49" fontId="7" fillId="5" borderId="61" xfId="0" applyNumberFormat="1" applyFont="1" applyFill="1" applyBorder="1" applyAlignment="1" applyProtection="1">
      <alignment horizontal="center" wrapText="1"/>
      <protection hidden="1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8" fillId="3" borderId="62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7" fillId="3" borderId="63" xfId="20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horizontal="center" vertical="center" wrapText="1"/>
    </xf>
    <xf numFmtId="0" fontId="12" fillId="6" borderId="6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Font="1" applyFill="1" applyBorder="1" applyAlignment="1" applyProtection="1">
      <alignment horizontal="center" vertical="center" textRotation="90" wrapText="1"/>
      <protection locked="0"/>
    </xf>
    <xf numFmtId="0" fontId="0" fillId="0" borderId="65" xfId="0" applyFont="1" applyFill="1" applyBorder="1" applyAlignment="1" applyProtection="1">
      <alignment horizontal="center" vertical="center" textRotation="90" wrapText="1"/>
      <protection locked="0"/>
    </xf>
    <xf numFmtId="0" fontId="12" fillId="6" borderId="62" xfId="0" applyFont="1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 vertical="center" textRotation="90" wrapText="1"/>
      <protection locked="0"/>
    </xf>
    <xf numFmtId="0" fontId="19" fillId="0" borderId="64" xfId="0" applyFont="1" applyFill="1" applyBorder="1" applyAlignment="1" applyProtection="1">
      <alignment horizontal="center" vertical="center" textRotation="90" wrapText="1"/>
      <protection locked="0"/>
    </xf>
    <xf numFmtId="0" fontId="19" fillId="0" borderId="66" xfId="0" applyFont="1" applyFill="1" applyBorder="1" applyAlignment="1" applyProtection="1">
      <alignment horizontal="center" vertical="center" textRotation="90" wrapText="1"/>
      <protection locked="0"/>
    </xf>
    <xf numFmtId="0" fontId="19" fillId="0" borderId="65" xfId="0" applyFont="1" applyFill="1" applyBorder="1" applyAlignment="1" applyProtection="1">
      <alignment horizontal="center" vertical="center" textRotation="90" wrapText="1"/>
      <protection locked="0"/>
    </xf>
    <xf numFmtId="49" fontId="7" fillId="5" borderId="67" xfId="0" applyNumberFormat="1" applyFont="1" applyFill="1" applyBorder="1" applyAlignment="1" applyProtection="1">
      <alignment horizontal="center" wrapText="1"/>
      <protection hidden="1"/>
    </xf>
    <xf numFmtId="49" fontId="7" fillId="5" borderId="11" xfId="0" applyNumberFormat="1" applyFont="1" applyFill="1" applyBorder="1" applyAlignment="1" applyProtection="1">
      <alignment horizontal="center" wrapText="1"/>
      <protection hidden="1"/>
    </xf>
    <xf numFmtId="165" fontId="4" fillId="0" borderId="6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1" xfId="0" applyNumberFormat="1" applyFont="1" applyFill="1" applyBorder="1" applyAlignment="1" applyProtection="1">
      <alignment horizontal="center" vertical="top" wrapText="1"/>
      <protection hidden="1" locked="0"/>
    </xf>
    <xf numFmtId="49" fontId="7" fillId="5" borderId="62" xfId="0" applyNumberFormat="1" applyFont="1" applyFill="1" applyBorder="1" applyAlignment="1" applyProtection="1">
      <alignment horizontal="center" wrapText="1"/>
      <protection hidden="1"/>
    </xf>
    <xf numFmtId="166" fontId="3" fillId="5" borderId="72" xfId="0" applyNumberFormat="1" applyFont="1" applyFill="1" applyBorder="1" applyAlignment="1" applyProtection="1">
      <alignment vertical="center"/>
      <protection hidden="1"/>
    </xf>
    <xf numFmtId="166" fontId="3" fillId="5" borderId="73" xfId="0" applyNumberFormat="1" applyFont="1" applyFill="1" applyBorder="1" applyAlignment="1" applyProtection="1">
      <alignment vertical="center"/>
      <protection hidden="1"/>
    </xf>
    <xf numFmtId="166" fontId="3" fillId="5" borderId="74" xfId="0" applyNumberFormat="1" applyFont="1" applyFill="1" applyBorder="1" applyAlignment="1" applyProtection="1">
      <alignment vertical="center"/>
      <protection hidden="1"/>
    </xf>
    <xf numFmtId="3" fontId="7" fillId="0" borderId="75" xfId="0" applyNumberFormat="1" applyFont="1" applyFill="1" applyBorder="1" applyAlignment="1" applyProtection="1">
      <alignment horizontal="center" vertical="center"/>
      <protection hidden="1" locked="0"/>
    </xf>
    <xf numFmtId="3" fontId="7" fillId="0" borderId="76" xfId="0" applyNumberFormat="1" applyFont="1" applyFill="1" applyBorder="1" applyAlignment="1" applyProtection="1">
      <alignment horizontal="center" vertical="center"/>
      <protection hidden="1" locked="0"/>
    </xf>
    <xf numFmtId="3" fontId="7" fillId="0" borderId="7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>
      <alignment horizontal="left"/>
    </xf>
    <xf numFmtId="0" fontId="4" fillId="5" borderId="56" xfId="0" applyFont="1" applyFill="1" applyBorder="1" applyAlignment="1" applyProtection="1">
      <alignment vertical="center"/>
      <protection hidden="1" locked="0"/>
    </xf>
    <xf numFmtId="0" fontId="4" fillId="5" borderId="59" xfId="0" applyFont="1" applyFill="1" applyBorder="1" applyAlignment="1" applyProtection="1">
      <alignment vertical="center"/>
      <protection hidden="1" locked="0"/>
    </xf>
    <xf numFmtId="0" fontId="4" fillId="5" borderId="57" xfId="0" applyFont="1" applyFill="1" applyBorder="1" applyAlignment="1" applyProtection="1">
      <alignment vertical="center"/>
      <protection hidden="1" locked="0"/>
    </xf>
    <xf numFmtId="0" fontId="4" fillId="5" borderId="58" xfId="0" applyFont="1" applyFill="1" applyBorder="1" applyAlignment="1" applyProtection="1">
      <alignment vertical="center"/>
      <protection hidden="1" locked="0"/>
    </xf>
    <xf numFmtId="0" fontId="4" fillId="5" borderId="72" xfId="0" applyFont="1" applyFill="1" applyBorder="1" applyAlignment="1" applyProtection="1">
      <alignment vertical="center"/>
      <protection hidden="1" locked="0"/>
    </xf>
    <xf numFmtId="0" fontId="4" fillId="5" borderId="60" xfId="0" applyFont="1" applyFill="1" applyBorder="1" applyAlignment="1" applyProtection="1">
      <alignment vertical="center"/>
      <protection hidden="1" locked="0"/>
    </xf>
    <xf numFmtId="0" fontId="4" fillId="5" borderId="73" xfId="0" applyFont="1" applyFill="1" applyBorder="1" applyAlignment="1" applyProtection="1">
      <alignment vertical="center"/>
      <protection hidden="1" locked="0"/>
    </xf>
    <xf numFmtId="0" fontId="4" fillId="5" borderId="74" xfId="0" applyFont="1" applyFill="1" applyBorder="1" applyAlignment="1" applyProtection="1">
      <alignment vertical="center"/>
      <protection hidden="1" locked="0"/>
    </xf>
    <xf numFmtId="0" fontId="0" fillId="0" borderId="4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14" fillId="5" borderId="7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" vertical="center"/>
      <protection hidden="1" locked="0"/>
    </xf>
    <xf numFmtId="166" fontId="3" fillId="5" borderId="56" xfId="0" applyNumberFormat="1" applyFont="1" applyFill="1" applyBorder="1" applyAlignment="1" applyProtection="1">
      <alignment horizontal="right"/>
      <protection hidden="1"/>
    </xf>
    <xf numFmtId="166" fontId="3" fillId="5" borderId="79" xfId="0" applyNumberFormat="1" applyFont="1" applyFill="1" applyBorder="1" applyAlignment="1" applyProtection="1">
      <alignment horizontal="right"/>
      <protection hidden="1"/>
    </xf>
    <xf numFmtId="166" fontId="3" fillId="5" borderId="58" xfId="0" applyNumberFormat="1" applyFont="1" applyFill="1" applyBorder="1" applyAlignment="1" applyProtection="1">
      <alignment horizontal="right"/>
      <protection hidden="1"/>
    </xf>
    <xf numFmtId="166" fontId="3" fillId="5" borderId="72" xfId="0" applyNumberFormat="1" applyFont="1" applyFill="1" applyBorder="1" applyAlignment="1" applyProtection="1">
      <alignment horizontal="right"/>
      <protection hidden="1"/>
    </xf>
    <xf numFmtId="166" fontId="3" fillId="5" borderId="80" xfId="0" applyNumberFormat="1" applyFont="1" applyFill="1" applyBorder="1" applyAlignment="1" applyProtection="1">
      <alignment horizontal="right"/>
      <protection hidden="1"/>
    </xf>
    <xf numFmtId="166" fontId="3" fillId="5" borderId="74" xfId="0" applyNumberFormat="1" applyFont="1" applyFill="1" applyBorder="1" applyAlignment="1" applyProtection="1">
      <alignment horizontal="right"/>
      <protection hidden="1"/>
    </xf>
    <xf numFmtId="3" fontId="4" fillId="5" borderId="56" xfId="0" applyNumberFormat="1" applyFont="1" applyFill="1" applyBorder="1" applyAlignment="1" applyProtection="1">
      <alignment horizontal="left" vertical="center"/>
      <protection hidden="1" locked="0"/>
    </xf>
    <xf numFmtId="3" fontId="4" fillId="5" borderId="59" xfId="0" applyNumberFormat="1" applyFont="1" applyFill="1" applyBorder="1" applyAlignment="1" applyProtection="1">
      <alignment horizontal="left" vertical="center"/>
      <protection hidden="1" locked="0"/>
    </xf>
    <xf numFmtId="3" fontId="4" fillId="5" borderId="57" xfId="0" applyNumberFormat="1" applyFont="1" applyFill="1" applyBorder="1" applyAlignment="1" applyProtection="1">
      <alignment horizontal="left" vertical="center"/>
      <protection hidden="1" locked="0"/>
    </xf>
    <xf numFmtId="3" fontId="4" fillId="5" borderId="68" xfId="0" applyNumberFormat="1" applyFont="1" applyFill="1" applyBorder="1" applyAlignment="1" applyProtection="1">
      <alignment horizontal="left" vertical="center"/>
      <protection hidden="1" locked="0"/>
    </xf>
    <xf numFmtId="0" fontId="4" fillId="5" borderId="72" xfId="0" applyFont="1" applyFill="1" applyBorder="1" applyAlignment="1" applyProtection="1">
      <alignment horizontal="left" vertical="center"/>
      <protection hidden="1" locked="0"/>
    </xf>
    <xf numFmtId="0" fontId="4" fillId="5" borderId="60" xfId="0" applyFont="1" applyFill="1" applyBorder="1" applyAlignment="1" applyProtection="1">
      <alignment horizontal="left" vertical="center"/>
      <protection hidden="1" locked="0"/>
    </xf>
    <xf numFmtId="0" fontId="4" fillId="5" borderId="73" xfId="0" applyFont="1" applyFill="1" applyBorder="1" applyAlignment="1" applyProtection="1">
      <alignment horizontal="left" vertical="center"/>
      <protection hidden="1" locked="0"/>
    </xf>
    <xf numFmtId="0" fontId="4" fillId="5" borderId="70" xfId="0" applyFont="1" applyFill="1" applyBorder="1" applyAlignment="1" applyProtection="1">
      <alignment horizontal="left" vertical="center"/>
      <protection hidden="1" locked="0"/>
    </xf>
    <xf numFmtId="166" fontId="3" fillId="5" borderId="79" xfId="0" applyNumberFormat="1" applyFont="1" applyFill="1" applyBorder="1" applyAlignment="1" applyProtection="1">
      <alignment vertical="center"/>
      <protection hidden="1"/>
    </xf>
    <xf numFmtId="166" fontId="3" fillId="5" borderId="68" xfId="0" applyNumberFormat="1" applyFont="1" applyFill="1" applyBorder="1" applyAlignment="1" applyProtection="1">
      <alignment vertical="center"/>
      <protection hidden="1"/>
    </xf>
    <xf numFmtId="166" fontId="3" fillId="5" borderId="80" xfId="0" applyNumberFormat="1" applyFont="1" applyFill="1" applyBorder="1" applyAlignment="1" applyProtection="1">
      <alignment vertical="center"/>
      <protection hidden="1"/>
    </xf>
    <xf numFmtId="166" fontId="3" fillId="5" borderId="70" xfId="0" applyNumberFormat="1" applyFont="1" applyFill="1" applyBorder="1" applyAlignment="1" applyProtection="1">
      <alignment vertical="center"/>
      <protection hidden="1"/>
    </xf>
    <xf numFmtId="166" fontId="7" fillId="0" borderId="75" xfId="0" applyNumberFormat="1" applyFont="1" applyFill="1" applyBorder="1" applyAlignment="1" applyProtection="1">
      <alignment horizontal="center"/>
      <protection hidden="1" locked="0"/>
    </xf>
    <xf numFmtId="166" fontId="7" fillId="0" borderId="76" xfId="0" applyNumberFormat="1" applyFont="1" applyFill="1" applyBorder="1" applyAlignment="1" applyProtection="1">
      <alignment horizontal="center"/>
      <protection hidden="1" locked="0"/>
    </xf>
    <xf numFmtId="166" fontId="7" fillId="0" borderId="67" xfId="0" applyNumberFormat="1" applyFont="1" applyFill="1" applyBorder="1" applyAlignment="1" applyProtection="1">
      <alignment horizontal="center"/>
      <protection hidden="1" locked="0"/>
    </xf>
    <xf numFmtId="0" fontId="12" fillId="0" borderId="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/>
      <protection hidden="1"/>
    </xf>
    <xf numFmtId="3" fontId="3" fillId="0" borderId="1" xfId="0" applyNumberFormat="1" applyFont="1" applyBorder="1" applyAlignment="1" applyProtection="1">
      <alignment horizontal="center"/>
      <protection hidden="1" locked="0"/>
    </xf>
    <xf numFmtId="0" fontId="4" fillId="3" borderId="2" xfId="0" applyFont="1" applyFill="1" applyBorder="1" applyAlignment="1" applyProtection="1">
      <alignment horizontal="left"/>
      <protection hidden="1" locked="0"/>
    </xf>
    <xf numFmtId="0" fontId="4" fillId="3" borderId="78" xfId="0" applyFont="1" applyFill="1" applyBorder="1" applyAlignment="1" applyProtection="1">
      <alignment horizontal="left"/>
      <protection hidden="1" locked="0"/>
    </xf>
    <xf numFmtId="0" fontId="4" fillId="3" borderId="5" xfId="0" applyFont="1" applyFill="1" applyBorder="1" applyAlignment="1" applyProtection="1">
      <alignment horizontal="left"/>
      <protection hidden="1" locked="0"/>
    </xf>
    <xf numFmtId="0" fontId="4" fillId="3" borderId="1" xfId="0" applyFont="1" applyFill="1" applyBorder="1" applyAlignment="1" applyProtection="1">
      <alignment horizontal="left"/>
      <protection hidden="1" locked="0"/>
    </xf>
    <xf numFmtId="49" fontId="7" fillId="4" borderId="62" xfId="0" applyNumberFormat="1" applyFont="1" applyFill="1" applyBorder="1" applyAlignment="1" applyProtection="1">
      <alignment horizontal="center"/>
      <protection hidden="1" locked="0"/>
    </xf>
    <xf numFmtId="49" fontId="7" fillId="4" borderId="3" xfId="0" applyNumberFormat="1" applyFont="1" applyFill="1" applyBorder="1" applyAlignment="1" applyProtection="1">
      <alignment horizontal="center"/>
      <protection hidden="1" locked="0"/>
    </xf>
    <xf numFmtId="49" fontId="7" fillId="4" borderId="11" xfId="0" applyNumberFormat="1" applyFont="1" applyFill="1" applyBorder="1" applyAlignment="1" applyProtection="1">
      <alignment horizontal="center"/>
      <protection hidden="1" locked="0"/>
    </xf>
    <xf numFmtId="4" fontId="4" fillId="3" borderId="68" xfId="0" applyNumberFormat="1" applyFont="1" applyFill="1" applyBorder="1" applyAlignment="1" applyProtection="1">
      <alignment horizontal="center" vertical="center"/>
      <protection hidden="1" locked="0"/>
    </xf>
    <xf numFmtId="4" fontId="4" fillId="3" borderId="79" xfId="0" applyNumberFormat="1" applyFont="1" applyFill="1" applyBorder="1" applyAlignment="1" applyProtection="1">
      <alignment horizontal="center" vertical="center"/>
      <protection hidden="1" locked="0"/>
    </xf>
    <xf numFmtId="4" fontId="4" fillId="3" borderId="59" xfId="0" applyNumberFormat="1" applyFont="1" applyFill="1" applyBorder="1" applyAlignment="1" applyProtection="1">
      <alignment horizontal="center" vertical="center"/>
      <protection hidden="1" locked="0"/>
    </xf>
    <xf numFmtId="0" fontId="7" fillId="3" borderId="13" xfId="20" applyFont="1" applyFill="1" applyBorder="1" applyAlignment="1" applyProtection="1">
      <alignment horizontal="center" vertical="center" wrapText="1"/>
      <protection hidden="1" locked="0"/>
    </xf>
    <xf numFmtId="0" fontId="7" fillId="3" borderId="6" xfId="20" applyFont="1" applyFill="1" applyBorder="1" applyAlignment="1" applyProtection="1">
      <alignment horizontal="center" vertical="center" wrapText="1"/>
      <protection hidden="1" locked="0"/>
    </xf>
    <xf numFmtId="4" fontId="7" fillId="3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2" xfId="0" applyFont="1" applyFill="1" applyBorder="1" applyAlignment="1" applyProtection="1">
      <alignment horizontal="center"/>
      <protection hidden="1" locked="0"/>
    </xf>
    <xf numFmtId="0" fontId="16" fillId="0" borderId="3" xfId="0" applyFont="1" applyFill="1" applyBorder="1" applyAlignment="1" applyProtection="1">
      <alignment horizontal="center"/>
      <protection hidden="1" locked="0"/>
    </xf>
    <xf numFmtId="0" fontId="16" fillId="0" borderId="11" xfId="0" applyFont="1" applyFill="1" applyBorder="1" applyAlignment="1" applyProtection="1">
      <alignment horizontal="center"/>
      <protection hidden="1" locked="0"/>
    </xf>
    <xf numFmtId="49" fontId="4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/>
      <protection locked="0"/>
    </xf>
    <xf numFmtId="4" fontId="7" fillId="3" borderId="49" xfId="0" applyNumberFormat="1" applyFont="1" applyFill="1" applyBorder="1" applyAlignment="1" applyProtection="1">
      <alignment horizontal="center" vertical="center"/>
      <protection hidden="1" locked="0"/>
    </xf>
    <xf numFmtId="4" fontId="7" fillId="3" borderId="4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0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2" xfId="0" applyNumberFormat="1" applyFont="1" applyFill="1" applyBorder="1" applyAlignment="1" applyProtection="1">
      <alignment horizontal="center"/>
      <protection hidden="1" locked="0"/>
    </xf>
    <xf numFmtId="4" fontId="16" fillId="0" borderId="3" xfId="0" applyNumberFormat="1" applyFont="1" applyFill="1" applyBorder="1" applyAlignment="1" applyProtection="1">
      <alignment horizontal="center"/>
      <protection hidden="1" locked="0"/>
    </xf>
    <xf numFmtId="4" fontId="16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64" xfId="0" applyFont="1" applyBorder="1" applyAlignment="1" applyProtection="1">
      <alignment horizontal="center" vertical="center" textRotation="90" wrapText="1"/>
      <protection locked="0"/>
    </xf>
    <xf numFmtId="0" fontId="12" fillId="0" borderId="65" xfId="0" applyFont="1" applyBorder="1" applyAlignment="1" applyProtection="1">
      <alignment horizontal="center" vertical="center" textRotation="90" wrapText="1"/>
      <protection locked="0"/>
    </xf>
    <xf numFmtId="0" fontId="0" fillId="0" borderId="64" xfId="0" applyFill="1" applyBorder="1" applyAlignment="1" applyProtection="1">
      <alignment horizontal="center" vertical="center" textRotation="90" wrapText="1"/>
      <protection locked="0"/>
    </xf>
    <xf numFmtId="0" fontId="0" fillId="0" borderId="65" xfId="0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hidden="1" locked="0"/>
    </xf>
    <xf numFmtId="0" fontId="4" fillId="3" borderId="6" xfId="0" applyFont="1" applyFill="1" applyBorder="1" applyAlignment="1" applyProtection="1">
      <alignment horizontal="center" vertical="center" wrapText="1"/>
      <protection hidden="1" locked="0"/>
    </xf>
    <xf numFmtId="0" fontId="4" fillId="3" borderId="4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4" fillId="3" borderId="1" xfId="0" applyFont="1" applyFill="1" applyBorder="1" applyAlignment="1" applyProtection="1">
      <alignment horizontal="center" vertical="center" wrapText="1"/>
      <protection hidden="1"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 vertical="center" textRotation="90" wrapText="1"/>
      <protection locked="0"/>
    </xf>
    <xf numFmtId="0" fontId="12" fillId="8" borderId="64" xfId="0" applyFont="1" applyFill="1" applyBorder="1" applyAlignment="1" applyProtection="1">
      <alignment horizontal="center" vertical="center" textRotation="90" wrapText="1"/>
      <protection locked="0"/>
    </xf>
    <xf numFmtId="0" fontId="12" fillId="8" borderId="65" xfId="0" applyFont="1" applyFill="1" applyBorder="1" applyAlignment="1" applyProtection="1">
      <alignment horizontal="center" vertical="center" textRotation="90" wrapText="1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78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/>
      <protection locked="0"/>
    </xf>
    <xf numFmtId="0" fontId="22" fillId="7" borderId="22" xfId="0" applyFont="1" applyFill="1" applyBorder="1" applyAlignment="1">
      <alignment horizontal="center" wrapText="1"/>
    </xf>
    <xf numFmtId="0" fontId="22" fillId="7" borderId="22" xfId="0" applyFont="1" applyFill="1" applyBorder="1" applyAlignment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78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78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22" fillId="0" borderId="29" xfId="0" applyFont="1" applyBorder="1" applyAlignment="1">
      <alignment horizontal="center"/>
    </xf>
    <xf numFmtId="172" fontId="22" fillId="7" borderId="54" xfId="0" applyNumberFormat="1" applyFont="1" applyFill="1" applyBorder="1" applyAlignment="1">
      <alignment horizontal="center" vertical="center"/>
    </xf>
    <xf numFmtId="172" fontId="22" fillId="0" borderId="83" xfId="0" applyNumberFormat="1" applyFont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3" fontId="23" fillId="7" borderId="54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52" xfId="0" applyFont="1" applyBorder="1" applyAlignment="1" applyProtection="1">
      <alignment vertical="center" wrapText="1"/>
      <protection locked="0"/>
    </xf>
    <xf numFmtId="0" fontId="22" fillId="0" borderId="55" xfId="0" applyFont="1" applyBorder="1" applyAlignment="1" applyProtection="1">
      <alignment vertical="center" wrapText="1"/>
      <protection locked="0"/>
    </xf>
    <xf numFmtId="44" fontId="22" fillId="0" borderId="30" xfId="18" applyFont="1" applyBorder="1" applyAlignment="1" applyProtection="1">
      <alignment vertical="center" wrapText="1"/>
      <protection locked="0"/>
    </xf>
    <xf numFmtId="0" fontId="22" fillId="7" borderId="84" xfId="0" applyFont="1" applyFill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52" xfId="0" applyFont="1" applyBorder="1" applyAlignment="1" applyProtection="1">
      <alignment vertical="center"/>
      <protection locked="0"/>
    </xf>
    <xf numFmtId="0" fontId="22" fillId="0" borderId="55" xfId="0" applyFont="1" applyBorder="1" applyAlignment="1" applyProtection="1">
      <alignment vertical="center"/>
      <protection locked="0"/>
    </xf>
    <xf numFmtId="44" fontId="23" fillId="0" borderId="87" xfId="0" applyNumberFormat="1" applyFont="1" applyBorder="1" applyAlignment="1">
      <alignment horizontal="center"/>
    </xf>
    <xf numFmtId="44" fontId="23" fillId="0" borderId="88" xfId="0" applyNumberFormat="1" applyFont="1" applyBorder="1" applyAlignment="1">
      <alignment horizontal="center"/>
    </xf>
    <xf numFmtId="44" fontId="23" fillId="0" borderId="89" xfId="0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7" borderId="90" xfId="0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25" fillId="7" borderId="25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7" borderId="8" xfId="0" applyFont="1" applyFill="1" applyBorder="1" applyAlignment="1">
      <alignment horizontal="center"/>
    </xf>
    <xf numFmtId="175" fontId="22" fillId="0" borderId="40" xfId="0" applyNumberFormat="1" applyFont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  <xf numFmtId="175" fontId="22" fillId="0" borderId="43" xfId="0" applyNumberFormat="1" applyFont="1" applyBorder="1" applyAlignment="1">
      <alignment horizontal="center"/>
    </xf>
    <xf numFmtId="0" fontId="23" fillId="7" borderId="8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49" fontId="23" fillId="7" borderId="8" xfId="0" applyNumberFormat="1" applyFont="1" applyFill="1" applyBorder="1" applyAlignment="1">
      <alignment horizontal="center" vertical="center"/>
    </xf>
    <xf numFmtId="49" fontId="23" fillId="7" borderId="6" xfId="0" applyNumberFormat="1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3" fillId="7" borderId="78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2" fillId="0" borderId="94" xfId="0" applyFont="1" applyBorder="1" applyAlignment="1">
      <alignment/>
    </xf>
    <xf numFmtId="0" fontId="0" fillId="0" borderId="95" xfId="0" applyBorder="1" applyAlignment="1">
      <alignment/>
    </xf>
    <xf numFmtId="0" fontId="22" fillId="0" borderId="96" xfId="0" applyFont="1" applyBorder="1" applyAlignment="1">
      <alignment/>
    </xf>
    <xf numFmtId="0" fontId="0" fillId="0" borderId="96" xfId="0" applyBorder="1" applyAlignment="1">
      <alignment/>
    </xf>
    <xf numFmtId="0" fontId="22" fillId="0" borderId="45" xfId="0" applyFont="1" applyBorder="1" applyAlignment="1">
      <alignment/>
    </xf>
    <xf numFmtId="0" fontId="0" fillId="0" borderId="97" xfId="0" applyBorder="1" applyAlignment="1">
      <alignment/>
    </xf>
    <xf numFmtId="0" fontId="22" fillId="0" borderId="46" xfId="0" applyFont="1" applyBorder="1" applyAlignment="1">
      <alignment/>
    </xf>
    <xf numFmtId="0" fontId="0" fillId="0" borderId="46" xfId="0" applyBorder="1" applyAlignment="1">
      <alignment/>
    </xf>
    <xf numFmtId="44" fontId="22" fillId="0" borderId="98" xfId="18" applyFont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2" fillId="0" borderId="98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22" fillId="0" borderId="47" xfId="0" applyFont="1" applyBorder="1" applyAlignment="1">
      <alignment/>
    </xf>
    <xf numFmtId="0" fontId="0" fillId="0" borderId="105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2" fillId="0" borderId="52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2 Návrh Záv.vyúčtování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Pokyny k vyplnění: příjemce vyplňuje pouze bílá pole.
Do soupisky se uvádí způsobilé i nezpůsobilé výdaje projektu. 
Kaptioly uvedené ve sloupci A představují součtové řádky uvedené na Rozhodnutí o poskytnutí dotace/Stanovení výdajů.
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439" t="s">
        <v>77</v>
      </c>
      <c r="B5" s="440"/>
      <c r="C5" s="440"/>
      <c r="D5" s="441"/>
      <c r="E5" s="56"/>
      <c r="F5" s="439" t="s">
        <v>30</v>
      </c>
      <c r="G5" s="440"/>
      <c r="H5" s="441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153" t="s">
        <v>40</v>
      </c>
    </row>
    <row r="6" spans="1:26" ht="14.25">
      <c r="A6" s="439" t="s">
        <v>28</v>
      </c>
      <c r="B6" s="440"/>
      <c r="C6" s="440"/>
      <c r="D6" s="441"/>
      <c r="E6" s="56"/>
      <c r="F6" s="442" t="s">
        <v>31</v>
      </c>
      <c r="G6" s="442"/>
      <c r="H6" s="442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22"/>
    </row>
    <row r="7" spans="1:26" ht="14.25">
      <c r="A7" s="439" t="s">
        <v>29</v>
      </c>
      <c r="B7" s="440"/>
      <c r="C7" s="440"/>
      <c r="D7" s="441"/>
      <c r="E7" s="56"/>
      <c r="F7" s="442" t="s">
        <v>32</v>
      </c>
      <c r="G7" s="442"/>
      <c r="H7" s="442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453" t="s">
        <v>53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5"/>
      <c r="M10" s="443" t="s">
        <v>83</v>
      </c>
      <c r="N10" s="444"/>
      <c r="O10" s="445"/>
      <c r="P10" s="67"/>
      <c r="Q10" s="67"/>
      <c r="R10" s="67"/>
      <c r="S10" s="67"/>
      <c r="T10" s="461" t="s">
        <v>54</v>
      </c>
      <c r="U10" s="462"/>
      <c r="V10" s="462"/>
      <c r="W10" s="462"/>
      <c r="X10" s="462"/>
      <c r="Y10" s="463"/>
      <c r="Z10" s="5"/>
    </row>
    <row r="11" spans="1:26" ht="12.75" customHeight="1">
      <c r="A11" s="476"/>
      <c r="B11" s="474" t="s">
        <v>15</v>
      </c>
      <c r="C11" s="470" t="s">
        <v>1</v>
      </c>
      <c r="D11" s="471" t="s">
        <v>0</v>
      </c>
      <c r="E11" s="472"/>
      <c r="F11" s="469" t="s">
        <v>19</v>
      </c>
      <c r="G11" s="469" t="s">
        <v>18</v>
      </c>
      <c r="H11" s="456" t="s">
        <v>39</v>
      </c>
      <c r="I11" s="449" t="s">
        <v>20</v>
      </c>
      <c r="J11" s="357" t="s">
        <v>74</v>
      </c>
      <c r="K11" s="451" t="s">
        <v>21</v>
      </c>
      <c r="L11" s="449" t="s">
        <v>9</v>
      </c>
      <c r="M11" s="446" t="s">
        <v>2</v>
      </c>
      <c r="N11" s="447"/>
      <c r="O11" s="448"/>
      <c r="P11" s="68"/>
      <c r="Q11" s="68"/>
      <c r="R11" s="68"/>
      <c r="S11" s="68"/>
      <c r="T11" s="458" t="s">
        <v>13</v>
      </c>
      <c r="U11" s="459"/>
      <c r="V11" s="459"/>
      <c r="W11" s="459"/>
      <c r="X11" s="459"/>
      <c r="Y11" s="460"/>
      <c r="Z11" s="5"/>
    </row>
    <row r="12" spans="1:26" ht="51.75" customHeight="1" thickBot="1">
      <c r="A12" s="477"/>
      <c r="B12" s="475"/>
      <c r="C12" s="473"/>
      <c r="D12" s="70"/>
      <c r="E12" s="69" t="s">
        <v>17</v>
      </c>
      <c r="F12" s="470"/>
      <c r="G12" s="470"/>
      <c r="H12" s="457"/>
      <c r="I12" s="450"/>
      <c r="J12" s="358"/>
      <c r="K12" s="452"/>
      <c r="L12" s="450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478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479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479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479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479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479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479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480"/>
      <c r="B20" s="359" t="s">
        <v>65</v>
      </c>
      <c r="C20" s="360"/>
      <c r="D20" s="360"/>
      <c r="E20" s="360"/>
      <c r="F20" s="360"/>
      <c r="G20" s="360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464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465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465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465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465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465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465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466"/>
      <c r="B28" s="359" t="s">
        <v>66</v>
      </c>
      <c r="C28" s="360"/>
      <c r="D28" s="360"/>
      <c r="E28" s="360"/>
      <c r="F28" s="360"/>
      <c r="G28" s="360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464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465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465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465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465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465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465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466"/>
      <c r="B36" s="364" t="s">
        <v>67</v>
      </c>
      <c r="C36" s="365"/>
      <c r="D36" s="365"/>
      <c r="E36" s="365"/>
      <c r="F36" s="365"/>
      <c r="G36" s="365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61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467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467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467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467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467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467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468"/>
      <c r="B44" s="364" t="s">
        <v>68</v>
      </c>
      <c r="C44" s="365"/>
      <c r="D44" s="365"/>
      <c r="E44" s="365"/>
      <c r="F44" s="365"/>
      <c r="G44" s="365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61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62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62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62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62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62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62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63"/>
      <c r="B52" s="359" t="s">
        <v>69</v>
      </c>
      <c r="C52" s="360"/>
      <c r="D52" s="360"/>
      <c r="E52" s="360"/>
      <c r="F52" s="360"/>
      <c r="G52" s="360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61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62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62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62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62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62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62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63"/>
      <c r="B60" s="364" t="s">
        <v>70</v>
      </c>
      <c r="C60" s="365"/>
      <c r="D60" s="365"/>
      <c r="E60" s="365"/>
      <c r="F60" s="365"/>
      <c r="G60" s="365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61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62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62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62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62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62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62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63"/>
      <c r="B68" s="359" t="s">
        <v>71</v>
      </c>
      <c r="C68" s="360"/>
      <c r="D68" s="360"/>
      <c r="E68" s="360"/>
      <c r="F68" s="360"/>
      <c r="G68" s="360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61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62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62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62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62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62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62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63"/>
      <c r="B76" s="364" t="s">
        <v>72</v>
      </c>
      <c r="C76" s="365"/>
      <c r="D76" s="365"/>
      <c r="E76" s="365"/>
      <c r="F76" s="365"/>
      <c r="G76" s="365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366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367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367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367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367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367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368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369"/>
      <c r="B84" s="354" t="s">
        <v>73</v>
      </c>
      <c r="C84" s="355"/>
      <c r="D84" s="355"/>
      <c r="E84" s="355"/>
      <c r="F84" s="355"/>
      <c r="G84" s="355"/>
      <c r="H84" s="356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26"/>
      <c r="B85" s="427"/>
      <c r="C85" s="427"/>
      <c r="D85" s="427"/>
      <c r="E85" s="427"/>
      <c r="F85" s="427"/>
      <c r="G85" s="427"/>
      <c r="H85" s="428"/>
      <c r="I85" s="146" t="s">
        <v>35</v>
      </c>
      <c r="J85" s="146"/>
      <c r="K85" s="146" t="s">
        <v>36</v>
      </c>
      <c r="L85" s="166" t="s">
        <v>37</v>
      </c>
      <c r="M85" s="400" t="s">
        <v>34</v>
      </c>
      <c r="N85" s="400"/>
      <c r="O85" s="401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364" t="s">
        <v>75</v>
      </c>
      <c r="C86" s="365"/>
      <c r="D86" s="365"/>
      <c r="E86" s="365"/>
      <c r="F86" s="365"/>
      <c r="G86" s="365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09" t="s">
        <v>81</v>
      </c>
      <c r="J88" s="410"/>
      <c r="K88" s="411"/>
      <c r="L88" s="411"/>
      <c r="M88" s="411"/>
      <c r="N88" s="412"/>
      <c r="O88" s="403">
        <f>L86+O86</f>
        <v>0</v>
      </c>
      <c r="P88" s="404"/>
      <c r="Q88" s="404"/>
      <c r="R88" s="404"/>
      <c r="S88" s="404"/>
      <c r="T88" s="405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13" t="s">
        <v>82</v>
      </c>
      <c r="J89" s="414"/>
      <c r="K89" s="415"/>
      <c r="L89" s="415"/>
      <c r="M89" s="415"/>
      <c r="N89" s="416"/>
      <c r="O89" s="406">
        <f>I86+M86</f>
        <v>0</v>
      </c>
      <c r="P89" s="407"/>
      <c r="Q89" s="407"/>
      <c r="R89" s="407"/>
      <c r="S89" s="407"/>
      <c r="T89" s="408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21" t="s">
        <v>42</v>
      </c>
      <c r="P91" s="422"/>
      <c r="Q91" s="422"/>
      <c r="R91" s="422"/>
      <c r="S91" s="422"/>
      <c r="T91" s="423"/>
      <c r="U91" s="382" t="s">
        <v>43</v>
      </c>
      <c r="V91" s="383"/>
      <c r="W91" s="384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386" t="s">
        <v>79</v>
      </c>
      <c r="J92" s="387"/>
      <c r="K92" s="388"/>
      <c r="L92" s="388"/>
      <c r="M92" s="388"/>
      <c r="N92" s="389"/>
      <c r="O92" s="344">
        <f>P86</f>
        <v>0</v>
      </c>
      <c r="P92" s="417"/>
      <c r="Q92" s="417"/>
      <c r="R92" s="417"/>
      <c r="S92" s="417"/>
      <c r="T92" s="418"/>
      <c r="U92" s="344">
        <f>R86</f>
        <v>0</v>
      </c>
      <c r="V92" s="345"/>
      <c r="W92" s="346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390" t="s">
        <v>80</v>
      </c>
      <c r="J93" s="391"/>
      <c r="K93" s="392"/>
      <c r="L93" s="392"/>
      <c r="M93" s="392"/>
      <c r="N93" s="393"/>
      <c r="O93" s="379">
        <f>Q86</f>
        <v>0</v>
      </c>
      <c r="P93" s="419"/>
      <c r="Q93" s="419"/>
      <c r="R93" s="419"/>
      <c r="S93" s="419"/>
      <c r="T93" s="420"/>
      <c r="U93" s="379">
        <f>S86</f>
        <v>0</v>
      </c>
      <c r="V93" s="380"/>
      <c r="W93" s="381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25" t="s">
        <v>55</v>
      </c>
      <c r="B95" s="425"/>
      <c r="C95" s="425"/>
      <c r="D95" s="425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85" t="s">
        <v>26</v>
      </c>
      <c r="B96" s="385"/>
      <c r="C96" s="385"/>
      <c r="D96" s="385"/>
      <c r="E96" s="385" t="s">
        <v>22</v>
      </c>
      <c r="F96" s="385"/>
      <c r="G96" s="385"/>
      <c r="H96" s="27" t="s">
        <v>23</v>
      </c>
      <c r="I96" s="385" t="s">
        <v>24</v>
      </c>
      <c r="J96" s="385"/>
      <c r="K96" s="385"/>
      <c r="L96" s="385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394"/>
      <c r="B97" s="395"/>
      <c r="C97" s="395"/>
      <c r="D97" s="396"/>
      <c r="E97" s="394"/>
      <c r="F97" s="395"/>
      <c r="G97" s="396"/>
      <c r="H97" s="429"/>
      <c r="I97" s="394"/>
      <c r="J97" s="395"/>
      <c r="K97" s="395"/>
      <c r="L97" s="396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397"/>
      <c r="B98" s="398"/>
      <c r="C98" s="398"/>
      <c r="D98" s="399"/>
      <c r="E98" s="397"/>
      <c r="F98" s="398"/>
      <c r="G98" s="399"/>
      <c r="H98" s="430"/>
      <c r="I98" s="397"/>
      <c r="J98" s="398"/>
      <c r="K98" s="398"/>
      <c r="L98" s="399"/>
      <c r="M98" s="13"/>
      <c r="T98" s="13"/>
      <c r="U98" s="378" t="s">
        <v>49</v>
      </c>
      <c r="V98" s="352"/>
      <c r="W98" s="370" t="s">
        <v>50</v>
      </c>
      <c r="X98" s="371"/>
      <c r="Y98" s="162"/>
      <c r="Z98" s="158" t="s">
        <v>4</v>
      </c>
    </row>
    <row r="99" spans="12:26" ht="12.75">
      <c r="L99" s="7"/>
      <c r="M99" s="10"/>
      <c r="T99" s="155" t="s">
        <v>51</v>
      </c>
      <c r="U99" s="353"/>
      <c r="V99" s="347"/>
      <c r="W99" s="372"/>
      <c r="X99" s="373"/>
      <c r="Y99" s="163"/>
      <c r="Z99" s="159"/>
    </row>
    <row r="100" spans="1:26" ht="12.75">
      <c r="A100" s="424" t="s">
        <v>78</v>
      </c>
      <c r="B100" s="424"/>
      <c r="C100" s="424"/>
      <c r="D100" s="424"/>
      <c r="E100" s="424"/>
      <c r="F100" s="424"/>
      <c r="G100" s="424"/>
      <c r="H100" s="19"/>
      <c r="I100" s="18"/>
      <c r="J100" s="18"/>
      <c r="K100" s="20"/>
      <c r="L100" s="20"/>
      <c r="M100" s="21"/>
      <c r="T100" s="156" t="s">
        <v>48</v>
      </c>
      <c r="U100" s="348"/>
      <c r="V100" s="349"/>
      <c r="W100" s="374"/>
      <c r="X100" s="375"/>
      <c r="Y100" s="163"/>
      <c r="Z100" s="160"/>
    </row>
    <row r="101" spans="1:26" ht="13.5" thickBot="1">
      <c r="A101" s="385" t="s">
        <v>25</v>
      </c>
      <c r="B101" s="385"/>
      <c r="C101" s="385"/>
      <c r="D101" s="385"/>
      <c r="E101" s="385"/>
      <c r="F101" s="385"/>
      <c r="G101" s="385"/>
      <c r="H101" s="41" t="s">
        <v>23</v>
      </c>
      <c r="I101" s="437" t="s">
        <v>24</v>
      </c>
      <c r="J101" s="437"/>
      <c r="K101" s="437"/>
      <c r="L101" s="437"/>
      <c r="M101" s="21"/>
      <c r="T101" s="157" t="s">
        <v>52</v>
      </c>
      <c r="U101" s="350"/>
      <c r="V101" s="351"/>
      <c r="W101" s="376"/>
      <c r="X101" s="377"/>
      <c r="Y101" s="163"/>
      <c r="Z101" s="161"/>
    </row>
    <row r="102" spans="1:26" ht="12.75">
      <c r="A102" s="435"/>
      <c r="B102" s="435"/>
      <c r="C102" s="435"/>
      <c r="D102" s="435"/>
      <c r="E102" s="435"/>
      <c r="F102" s="435"/>
      <c r="G102" s="435"/>
      <c r="H102" s="429"/>
      <c r="I102" s="437"/>
      <c r="J102" s="437"/>
      <c r="K102" s="437"/>
      <c r="L102" s="437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35"/>
      <c r="B103" s="435"/>
      <c r="C103" s="435"/>
      <c r="D103" s="435"/>
      <c r="E103" s="435"/>
      <c r="F103" s="435"/>
      <c r="G103" s="435"/>
      <c r="H103" s="430"/>
      <c r="I103" s="437"/>
      <c r="J103" s="437"/>
      <c r="K103" s="437"/>
      <c r="L103" s="437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31" t="s">
        <v>27</v>
      </c>
      <c r="B104" s="432"/>
      <c r="C104" s="432"/>
      <c r="D104" s="432"/>
      <c r="E104" s="432"/>
      <c r="F104" s="432"/>
      <c r="G104" s="433"/>
      <c r="H104" s="42" t="s">
        <v>23</v>
      </c>
      <c r="I104" s="434" t="s">
        <v>24</v>
      </c>
      <c r="J104" s="434"/>
      <c r="K104" s="434"/>
      <c r="L104" s="434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35"/>
      <c r="B105" s="435"/>
      <c r="C105" s="435"/>
      <c r="D105" s="435"/>
      <c r="E105" s="435"/>
      <c r="F105" s="435"/>
      <c r="G105" s="435"/>
      <c r="H105" s="429"/>
      <c r="I105" s="436"/>
      <c r="J105" s="436"/>
      <c r="K105" s="436"/>
      <c r="L105" s="436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35"/>
      <c r="B106" s="435"/>
      <c r="C106" s="435"/>
      <c r="D106" s="435"/>
      <c r="E106" s="435"/>
      <c r="F106" s="435"/>
      <c r="G106" s="435"/>
      <c r="H106" s="430"/>
      <c r="I106" s="436"/>
      <c r="J106" s="436"/>
      <c r="K106" s="436"/>
      <c r="L106" s="436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A45:A52"/>
    <mergeCell ref="A53:A60"/>
    <mergeCell ref="B28:G28"/>
    <mergeCell ref="B11:B12"/>
    <mergeCell ref="A11:A12"/>
    <mergeCell ref="A13:A20"/>
    <mergeCell ref="A29:A36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I5:Y5"/>
    <mergeCell ref="I6:Y6"/>
    <mergeCell ref="A5:D5"/>
    <mergeCell ref="A6:D6"/>
    <mergeCell ref="F5:H5"/>
    <mergeCell ref="F6:H6"/>
    <mergeCell ref="A101:G101"/>
    <mergeCell ref="A102:G103"/>
    <mergeCell ref="H102:H103"/>
    <mergeCell ref="I101:L101"/>
    <mergeCell ref="I102:L103"/>
    <mergeCell ref="A104:G104"/>
    <mergeCell ref="I104:L104"/>
    <mergeCell ref="A105:G106"/>
    <mergeCell ref="H105:H106"/>
    <mergeCell ref="I105:L106"/>
    <mergeCell ref="A100:G100"/>
    <mergeCell ref="A95:D95"/>
    <mergeCell ref="A85:H85"/>
    <mergeCell ref="A96:D96"/>
    <mergeCell ref="E96:G96"/>
    <mergeCell ref="A97:D98"/>
    <mergeCell ref="E97:G98"/>
    <mergeCell ref="B86:G86"/>
    <mergeCell ref="H97:H98"/>
    <mergeCell ref="I97:L98"/>
    <mergeCell ref="M85:O85"/>
    <mergeCell ref="K87:T87"/>
    <mergeCell ref="O88:T88"/>
    <mergeCell ref="O89:T89"/>
    <mergeCell ref="I88:N88"/>
    <mergeCell ref="I89:N89"/>
    <mergeCell ref="O92:T92"/>
    <mergeCell ref="O93:T93"/>
    <mergeCell ref="O91:T91"/>
    <mergeCell ref="U92:W92"/>
    <mergeCell ref="U93:W93"/>
    <mergeCell ref="U91:W91"/>
    <mergeCell ref="I96:L96"/>
    <mergeCell ref="I92:N92"/>
    <mergeCell ref="I93:N93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tabSelected="1" workbookViewId="0" topLeftCell="A1">
      <pane ySplit="6" topLeftCell="BM7" activePane="bottomLeft" state="frozen"/>
      <selection pane="topLeft" activeCell="M65" sqref="M65"/>
      <selection pane="bottomLeft" activeCell="E13" sqref="E13"/>
    </sheetView>
  </sheetViews>
  <sheetFormatPr defaultColWidth="9.140625" defaultRowHeight="12.75"/>
  <cols>
    <col min="1" max="1" width="4.7109375" style="181" customWidth="1"/>
    <col min="2" max="2" width="8.28125" style="181" customWidth="1"/>
    <col min="3" max="3" width="15.421875" style="181" customWidth="1"/>
    <col min="4" max="4" width="17.7109375" style="181" customWidth="1"/>
    <col min="5" max="5" width="14.57421875" style="181" customWidth="1"/>
    <col min="6" max="6" width="9.00390625" style="290" customWidth="1"/>
    <col min="7" max="7" width="6.421875" style="181" customWidth="1"/>
    <col min="8" max="8" width="6.140625" style="181" customWidth="1"/>
    <col min="9" max="9" width="9.28125" style="189" customWidth="1"/>
    <col min="10" max="10" width="14.57421875" style="181" customWidth="1"/>
    <col min="11" max="12" width="11.7109375" style="181" customWidth="1"/>
    <col min="13" max="14" width="8.57421875" style="181" customWidth="1"/>
    <col min="15" max="16" width="12.7109375" style="181" customWidth="1"/>
    <col min="17" max="17" width="13.00390625" style="181" customWidth="1"/>
    <col min="18" max="19" width="12.7109375" style="181" customWidth="1"/>
    <col min="20" max="20" width="12.421875" style="181" customWidth="1"/>
    <col min="21" max="22" width="11.7109375" style="181" customWidth="1"/>
    <col min="23" max="16384" width="9.140625" style="181" customWidth="1"/>
  </cols>
  <sheetData>
    <row r="1" spans="1:22" ht="14.25">
      <c r="A1" s="489" t="s">
        <v>77</v>
      </c>
      <c r="B1" s="490"/>
      <c r="C1" s="490"/>
      <c r="D1" s="490"/>
      <c r="E1" s="491"/>
      <c r="F1" s="486"/>
      <c r="G1" s="487"/>
      <c r="H1" s="488"/>
      <c r="I1" s="489" t="s">
        <v>30</v>
      </c>
      <c r="J1" s="490"/>
      <c r="K1" s="491"/>
      <c r="L1" s="481"/>
      <c r="M1" s="482"/>
      <c r="N1" s="482"/>
      <c r="O1" s="482"/>
      <c r="P1" s="482"/>
      <c r="Q1" s="482"/>
      <c r="R1" s="482"/>
      <c r="S1" s="482"/>
      <c r="T1" s="483"/>
      <c r="U1" s="299"/>
      <c r="V1" s="299"/>
    </row>
    <row r="2" spans="1:22" ht="12.75">
      <c r="A2" s="489" t="s">
        <v>28</v>
      </c>
      <c r="B2" s="490"/>
      <c r="C2" s="490"/>
      <c r="D2" s="490"/>
      <c r="E2" s="491"/>
      <c r="F2" s="486"/>
      <c r="G2" s="487"/>
      <c r="H2" s="488"/>
      <c r="I2" s="489" t="s">
        <v>31</v>
      </c>
      <c r="J2" s="490"/>
      <c r="K2" s="491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ht="14.25">
      <c r="A3" s="489" t="s">
        <v>29</v>
      </c>
      <c r="B3" s="490"/>
      <c r="C3" s="490"/>
      <c r="D3" s="490"/>
      <c r="E3" s="491"/>
      <c r="F3" s="486"/>
      <c r="G3" s="487"/>
      <c r="H3" s="488"/>
      <c r="I3" s="489" t="s">
        <v>32</v>
      </c>
      <c r="J3" s="490"/>
      <c r="K3" s="491"/>
      <c r="L3" s="481"/>
      <c r="M3" s="482"/>
      <c r="N3" s="482"/>
      <c r="O3" s="482"/>
      <c r="P3" s="482"/>
      <c r="Q3" s="482"/>
      <c r="R3" s="482"/>
      <c r="S3" s="482"/>
      <c r="T3" s="483"/>
      <c r="U3" s="299"/>
      <c r="V3" s="299"/>
    </row>
    <row r="4" ht="9.75"/>
    <row r="5" spans="1:22" ht="13.5" customHeight="1">
      <c r="A5" s="484" t="s">
        <v>249</v>
      </c>
      <c r="B5" s="485" t="s">
        <v>250</v>
      </c>
      <c r="C5" s="307" t="s">
        <v>214</v>
      </c>
      <c r="D5" s="179"/>
      <c r="E5" s="301"/>
      <c r="F5" s="493" t="s">
        <v>84</v>
      </c>
      <c r="G5" s="180" t="s">
        <v>85</v>
      </c>
      <c r="H5" s="180" t="s">
        <v>85</v>
      </c>
      <c r="I5" s="495" t="s">
        <v>86</v>
      </c>
      <c r="J5" s="497" t="s">
        <v>87</v>
      </c>
      <c r="K5" s="497" t="s">
        <v>88</v>
      </c>
      <c r="L5" s="497" t="s">
        <v>89</v>
      </c>
      <c r="M5" s="497" t="s">
        <v>18</v>
      </c>
      <c r="N5" s="497" t="s">
        <v>245</v>
      </c>
      <c r="O5" s="513" t="s">
        <v>90</v>
      </c>
      <c r="P5" s="514"/>
      <c r="Q5" s="514"/>
      <c r="R5" s="514"/>
      <c r="S5" s="515"/>
      <c r="T5" s="503" t="s">
        <v>251</v>
      </c>
      <c r="U5" s="504"/>
      <c r="V5" s="505"/>
    </row>
    <row r="6" spans="1:22" ht="9.75">
      <c r="A6" s="484"/>
      <c r="B6" s="485"/>
      <c r="C6" s="308" t="s">
        <v>91</v>
      </c>
      <c r="D6" s="180" t="s">
        <v>92</v>
      </c>
      <c r="E6" s="180" t="s">
        <v>93</v>
      </c>
      <c r="F6" s="494"/>
      <c r="G6" s="182" t="s">
        <v>94</v>
      </c>
      <c r="H6" s="182" t="s">
        <v>95</v>
      </c>
      <c r="I6" s="496"/>
      <c r="J6" s="496"/>
      <c r="K6" s="496"/>
      <c r="L6" s="496"/>
      <c r="M6" s="496"/>
      <c r="N6" s="496"/>
      <c r="O6" s="182" t="s">
        <v>3</v>
      </c>
      <c r="P6" s="182" t="s">
        <v>4</v>
      </c>
      <c r="Q6" s="180" t="s">
        <v>96</v>
      </c>
      <c r="R6" s="180" t="s">
        <v>97</v>
      </c>
      <c r="S6" s="224" t="s">
        <v>185</v>
      </c>
      <c r="T6" s="183" t="s">
        <v>98</v>
      </c>
      <c r="U6" s="182" t="s">
        <v>99</v>
      </c>
      <c r="V6" s="184" t="s">
        <v>33</v>
      </c>
    </row>
    <row r="7" spans="1:22" ht="9.75">
      <c r="A7" s="314"/>
      <c r="B7" s="314"/>
      <c r="C7" s="315"/>
      <c r="D7" s="314"/>
      <c r="E7" s="316"/>
      <c r="F7" s="317"/>
      <c r="G7" s="299"/>
      <c r="H7" s="314"/>
      <c r="I7" s="318"/>
      <c r="J7" s="319"/>
      <c r="K7" s="319"/>
      <c r="L7" s="319"/>
      <c r="M7" s="319"/>
      <c r="N7" s="320"/>
      <c r="O7" s="309">
        <f>IF(I7="","",IF(I7="N","",IF(N7="A",FLOOR(L7*0.135,1),FLOOR(L7*0.135,1))))</f>
      </c>
      <c r="P7" s="309">
        <f>IF(I7="","",IF(I7="N","",IF(N7="A",FLOOR(L7*0.9*0.85,1),FLOOR(L7*0.9*0.85,1))))</f>
      </c>
      <c r="Q7" s="309"/>
      <c r="R7" s="309">
        <f>IF(I7="","",IF(I7="N",L7,L7-O7-P7))</f>
      </c>
      <c r="S7" s="310">
        <f>IF(SUM(O7:R7)=L7,SUM(O7:R7),"Chyba")</f>
        <v>0</v>
      </c>
      <c r="T7" s="339"/>
      <c r="U7" s="319">
        <v>0</v>
      </c>
      <c r="V7" s="340"/>
    </row>
    <row r="8" spans="1:22" ht="11.25" customHeight="1">
      <c r="A8" s="314"/>
      <c r="B8" s="314"/>
      <c r="C8" s="315"/>
      <c r="D8" s="314"/>
      <c r="E8" s="316"/>
      <c r="F8" s="317"/>
      <c r="G8" s="314"/>
      <c r="H8" s="314"/>
      <c r="I8" s="318"/>
      <c r="J8" s="319"/>
      <c r="K8" s="319"/>
      <c r="L8" s="319"/>
      <c r="M8" s="319"/>
      <c r="N8" s="320"/>
      <c r="O8" s="309">
        <f aca="true" t="shared" si="0" ref="O8:O71">IF(I8="","",IF(I8="N","",IF(N8="A",FLOOR(L8*0.135,1),FLOOR(L8*0.135,1))))</f>
      </c>
      <c r="P8" s="309">
        <f aca="true" t="shared" si="1" ref="P8:P71">IF(I8="","",IF(I8="N","",IF(N8="A",FLOOR(L8*0.9*0.85,1),FLOOR(L8*0.9*0.85,1))))</f>
      </c>
      <c r="Q8" s="311"/>
      <c r="R8" s="309">
        <f aca="true" t="shared" si="2" ref="R8:R71">IF(I8="","",IF(I8="N",L8,L8-O8-P8))</f>
      </c>
      <c r="S8" s="310">
        <f aca="true" t="shared" si="3" ref="S8:S71">IF(SUM(O8:R8)=L8,SUM(O8:R8),"Chyba")</f>
        <v>0</v>
      </c>
      <c r="T8" s="341"/>
      <c r="U8" s="319"/>
      <c r="V8" s="340">
        <f aca="true" t="shared" si="4" ref="V8:V71">IF(T8="","",T8+U8)</f>
      </c>
    </row>
    <row r="9" spans="1:22" ht="11.25" customHeight="1">
      <c r="A9" s="314"/>
      <c r="B9" s="314"/>
      <c r="C9" s="315"/>
      <c r="D9" s="314"/>
      <c r="E9" s="316"/>
      <c r="F9" s="317"/>
      <c r="G9" s="314"/>
      <c r="H9" s="314"/>
      <c r="I9" s="318"/>
      <c r="J9" s="319"/>
      <c r="K9" s="319"/>
      <c r="L9" s="319"/>
      <c r="M9" s="319"/>
      <c r="N9" s="320"/>
      <c r="O9" s="309">
        <f t="shared" si="0"/>
      </c>
      <c r="P9" s="309">
        <f t="shared" si="1"/>
      </c>
      <c r="Q9" s="312"/>
      <c r="R9" s="309">
        <f t="shared" si="2"/>
      </c>
      <c r="S9" s="310">
        <f t="shared" si="3"/>
        <v>0</v>
      </c>
      <c r="T9" s="341"/>
      <c r="U9" s="319"/>
      <c r="V9" s="340">
        <f t="shared" si="4"/>
      </c>
    </row>
    <row r="10" spans="1:22" ht="11.25" customHeight="1">
      <c r="A10" s="314"/>
      <c r="B10" s="314"/>
      <c r="C10" s="315"/>
      <c r="D10" s="314"/>
      <c r="E10" s="316"/>
      <c r="F10" s="317"/>
      <c r="G10" s="314"/>
      <c r="H10" s="314"/>
      <c r="I10" s="318"/>
      <c r="J10" s="319"/>
      <c r="K10" s="319"/>
      <c r="L10" s="319"/>
      <c r="M10" s="319"/>
      <c r="N10" s="320"/>
      <c r="O10" s="309">
        <f t="shared" si="0"/>
      </c>
      <c r="P10" s="309">
        <f t="shared" si="1"/>
      </c>
      <c r="Q10" s="312"/>
      <c r="R10" s="309">
        <f t="shared" si="2"/>
      </c>
      <c r="S10" s="310">
        <f t="shared" si="3"/>
        <v>0</v>
      </c>
      <c r="T10" s="341"/>
      <c r="U10" s="319"/>
      <c r="V10" s="340">
        <f t="shared" si="4"/>
      </c>
    </row>
    <row r="11" spans="1:22" ht="11.25" customHeight="1">
      <c r="A11" s="314"/>
      <c r="B11" s="314"/>
      <c r="C11" s="315"/>
      <c r="D11" s="314"/>
      <c r="E11" s="316"/>
      <c r="F11" s="317"/>
      <c r="G11" s="314"/>
      <c r="H11" s="314"/>
      <c r="I11" s="318"/>
      <c r="J11" s="319"/>
      <c r="K11" s="319"/>
      <c r="L11" s="319"/>
      <c r="M11" s="319"/>
      <c r="N11" s="320"/>
      <c r="O11" s="309">
        <f t="shared" si="0"/>
      </c>
      <c r="P11" s="309">
        <f t="shared" si="1"/>
      </c>
      <c r="Q11" s="312"/>
      <c r="R11" s="309">
        <f t="shared" si="2"/>
      </c>
      <c r="S11" s="310">
        <f t="shared" si="3"/>
        <v>0</v>
      </c>
      <c r="T11" s="341"/>
      <c r="U11" s="319"/>
      <c r="V11" s="340">
        <f t="shared" si="4"/>
      </c>
    </row>
    <row r="12" spans="1:22" ht="11.25" customHeight="1">
      <c r="A12" s="314"/>
      <c r="B12" s="314"/>
      <c r="C12" s="315"/>
      <c r="D12" s="314"/>
      <c r="E12" s="316"/>
      <c r="F12" s="317"/>
      <c r="G12" s="314"/>
      <c r="H12" s="314"/>
      <c r="I12" s="318"/>
      <c r="J12" s="319"/>
      <c r="K12" s="319"/>
      <c r="L12" s="319"/>
      <c r="M12" s="319"/>
      <c r="N12" s="320"/>
      <c r="O12" s="309">
        <f t="shared" si="0"/>
      </c>
      <c r="P12" s="309">
        <f t="shared" si="1"/>
      </c>
      <c r="Q12" s="312"/>
      <c r="R12" s="309">
        <f t="shared" si="2"/>
      </c>
      <c r="S12" s="310">
        <f t="shared" si="3"/>
        <v>0</v>
      </c>
      <c r="T12" s="341"/>
      <c r="U12" s="319"/>
      <c r="V12" s="340">
        <f t="shared" si="4"/>
      </c>
    </row>
    <row r="13" spans="1:22" ht="11.25" customHeight="1">
      <c r="A13" s="314"/>
      <c r="B13" s="314"/>
      <c r="C13" s="315"/>
      <c r="D13" s="314"/>
      <c r="E13" s="316"/>
      <c r="F13" s="317"/>
      <c r="G13" s="314"/>
      <c r="H13" s="314"/>
      <c r="I13" s="318"/>
      <c r="J13" s="319"/>
      <c r="K13" s="319"/>
      <c r="L13" s="319"/>
      <c r="M13" s="319"/>
      <c r="N13" s="320"/>
      <c r="O13" s="309">
        <f t="shared" si="0"/>
      </c>
      <c r="P13" s="309">
        <f t="shared" si="1"/>
      </c>
      <c r="Q13" s="312"/>
      <c r="R13" s="309">
        <f t="shared" si="2"/>
      </c>
      <c r="S13" s="310">
        <f t="shared" si="3"/>
        <v>0</v>
      </c>
      <c r="T13" s="341"/>
      <c r="U13" s="319"/>
      <c r="V13" s="340">
        <f t="shared" si="4"/>
      </c>
    </row>
    <row r="14" spans="1:22" ht="11.25" customHeight="1">
      <c r="A14" s="314"/>
      <c r="B14" s="314"/>
      <c r="C14" s="315"/>
      <c r="D14" s="314"/>
      <c r="E14" s="316"/>
      <c r="F14" s="317"/>
      <c r="G14" s="314"/>
      <c r="H14" s="314"/>
      <c r="I14" s="318"/>
      <c r="J14" s="319"/>
      <c r="K14" s="319"/>
      <c r="L14" s="319"/>
      <c r="M14" s="319"/>
      <c r="N14" s="320"/>
      <c r="O14" s="309">
        <f t="shared" si="0"/>
      </c>
      <c r="P14" s="309">
        <f t="shared" si="1"/>
      </c>
      <c r="Q14" s="312"/>
      <c r="R14" s="309">
        <f t="shared" si="2"/>
      </c>
      <c r="S14" s="310">
        <f t="shared" si="3"/>
        <v>0</v>
      </c>
      <c r="T14" s="341"/>
      <c r="U14" s="319"/>
      <c r="V14" s="340">
        <f t="shared" si="4"/>
      </c>
    </row>
    <row r="15" spans="1:22" ht="11.25" customHeight="1">
      <c r="A15" s="314"/>
      <c r="B15" s="314"/>
      <c r="C15" s="315"/>
      <c r="D15" s="314"/>
      <c r="E15" s="316"/>
      <c r="F15" s="317"/>
      <c r="G15" s="314"/>
      <c r="H15" s="314"/>
      <c r="I15" s="318"/>
      <c r="J15" s="319"/>
      <c r="K15" s="319"/>
      <c r="L15" s="319"/>
      <c r="M15" s="319"/>
      <c r="N15" s="320"/>
      <c r="O15" s="309">
        <f t="shared" si="0"/>
      </c>
      <c r="P15" s="309">
        <f t="shared" si="1"/>
      </c>
      <c r="Q15" s="312"/>
      <c r="R15" s="309">
        <f t="shared" si="2"/>
      </c>
      <c r="S15" s="310">
        <f t="shared" si="3"/>
        <v>0</v>
      </c>
      <c r="T15" s="341"/>
      <c r="U15" s="319"/>
      <c r="V15" s="340">
        <f t="shared" si="4"/>
      </c>
    </row>
    <row r="16" spans="1:22" ht="11.25" customHeight="1">
      <c r="A16" s="314"/>
      <c r="B16" s="314"/>
      <c r="C16" s="315"/>
      <c r="D16" s="314"/>
      <c r="E16" s="316"/>
      <c r="F16" s="317"/>
      <c r="G16" s="314"/>
      <c r="H16" s="314"/>
      <c r="I16" s="318"/>
      <c r="J16" s="319"/>
      <c r="K16" s="319"/>
      <c r="L16" s="319"/>
      <c r="M16" s="319"/>
      <c r="N16" s="320"/>
      <c r="O16" s="309">
        <f t="shared" si="0"/>
      </c>
      <c r="P16" s="309">
        <f t="shared" si="1"/>
      </c>
      <c r="Q16" s="312"/>
      <c r="R16" s="309">
        <f t="shared" si="2"/>
      </c>
      <c r="S16" s="310">
        <f t="shared" si="3"/>
        <v>0</v>
      </c>
      <c r="T16" s="341"/>
      <c r="U16" s="319"/>
      <c r="V16" s="340">
        <f t="shared" si="4"/>
      </c>
    </row>
    <row r="17" spans="1:22" ht="11.25" customHeight="1">
      <c r="A17" s="314"/>
      <c r="B17" s="314"/>
      <c r="C17" s="315"/>
      <c r="D17" s="314"/>
      <c r="E17" s="316"/>
      <c r="F17" s="317"/>
      <c r="G17" s="314"/>
      <c r="H17" s="314"/>
      <c r="I17" s="318"/>
      <c r="J17" s="319"/>
      <c r="K17" s="319"/>
      <c r="L17" s="319"/>
      <c r="M17" s="319"/>
      <c r="N17" s="320"/>
      <c r="O17" s="309">
        <f t="shared" si="0"/>
      </c>
      <c r="P17" s="309">
        <f t="shared" si="1"/>
      </c>
      <c r="Q17" s="312"/>
      <c r="R17" s="309">
        <f t="shared" si="2"/>
      </c>
      <c r="S17" s="310">
        <f t="shared" si="3"/>
        <v>0</v>
      </c>
      <c r="T17" s="341"/>
      <c r="U17" s="319"/>
      <c r="V17" s="340">
        <f t="shared" si="4"/>
      </c>
    </row>
    <row r="18" spans="1:22" ht="11.25" customHeight="1">
      <c r="A18" s="314"/>
      <c r="B18" s="314"/>
      <c r="C18" s="315"/>
      <c r="D18" s="314"/>
      <c r="E18" s="316"/>
      <c r="F18" s="317"/>
      <c r="G18" s="314"/>
      <c r="H18" s="314"/>
      <c r="I18" s="318"/>
      <c r="J18" s="319"/>
      <c r="K18" s="319"/>
      <c r="L18" s="319"/>
      <c r="M18" s="319"/>
      <c r="N18" s="320"/>
      <c r="O18" s="309">
        <f t="shared" si="0"/>
      </c>
      <c r="P18" s="309">
        <f t="shared" si="1"/>
      </c>
      <c r="Q18" s="312"/>
      <c r="R18" s="309">
        <f t="shared" si="2"/>
      </c>
      <c r="S18" s="310">
        <f t="shared" si="3"/>
        <v>0</v>
      </c>
      <c r="T18" s="341"/>
      <c r="U18" s="319"/>
      <c r="V18" s="340">
        <f t="shared" si="4"/>
      </c>
    </row>
    <row r="19" spans="1:22" ht="11.25" customHeight="1">
      <c r="A19" s="314"/>
      <c r="B19" s="314"/>
      <c r="C19" s="315"/>
      <c r="D19" s="314"/>
      <c r="E19" s="316"/>
      <c r="F19" s="317"/>
      <c r="G19" s="314"/>
      <c r="H19" s="314"/>
      <c r="I19" s="318"/>
      <c r="J19" s="319"/>
      <c r="K19" s="319"/>
      <c r="L19" s="319"/>
      <c r="M19" s="319"/>
      <c r="N19" s="320"/>
      <c r="O19" s="309">
        <f t="shared" si="0"/>
      </c>
      <c r="P19" s="309">
        <f t="shared" si="1"/>
      </c>
      <c r="Q19" s="312"/>
      <c r="R19" s="309">
        <f t="shared" si="2"/>
      </c>
      <c r="S19" s="310">
        <f t="shared" si="3"/>
        <v>0</v>
      </c>
      <c r="T19" s="341"/>
      <c r="U19" s="319"/>
      <c r="V19" s="340">
        <f t="shared" si="4"/>
      </c>
    </row>
    <row r="20" spans="1:22" s="188" customFormat="1" ht="11.25" customHeight="1">
      <c r="A20" s="321"/>
      <c r="B20" s="321"/>
      <c r="C20" s="322"/>
      <c r="D20" s="314"/>
      <c r="E20" s="316"/>
      <c r="F20" s="317"/>
      <c r="G20" s="314"/>
      <c r="H20" s="314"/>
      <c r="I20" s="318"/>
      <c r="J20" s="319"/>
      <c r="K20" s="319"/>
      <c r="L20" s="319"/>
      <c r="M20" s="319"/>
      <c r="N20" s="320"/>
      <c r="O20" s="309">
        <f t="shared" si="0"/>
      </c>
      <c r="P20" s="309">
        <f t="shared" si="1"/>
      </c>
      <c r="Q20" s="313"/>
      <c r="R20" s="309">
        <f t="shared" si="2"/>
      </c>
      <c r="S20" s="310">
        <f t="shared" si="3"/>
        <v>0</v>
      </c>
      <c r="T20" s="342"/>
      <c r="U20" s="343"/>
      <c r="V20" s="340">
        <f t="shared" si="4"/>
      </c>
    </row>
    <row r="21" spans="1:22" ht="9.75">
      <c r="A21" s="314"/>
      <c r="B21" s="314"/>
      <c r="C21" s="323"/>
      <c r="D21" s="314"/>
      <c r="E21" s="316"/>
      <c r="F21" s="317"/>
      <c r="G21" s="314"/>
      <c r="H21" s="314"/>
      <c r="I21" s="318"/>
      <c r="J21" s="319"/>
      <c r="K21" s="319"/>
      <c r="L21" s="319"/>
      <c r="M21" s="319"/>
      <c r="N21" s="320"/>
      <c r="O21" s="309">
        <f t="shared" si="0"/>
      </c>
      <c r="P21" s="309">
        <f t="shared" si="1"/>
      </c>
      <c r="Q21" s="312"/>
      <c r="R21" s="309">
        <f t="shared" si="2"/>
      </c>
      <c r="S21" s="310">
        <f t="shared" si="3"/>
        <v>0</v>
      </c>
      <c r="T21" s="341"/>
      <c r="U21" s="319"/>
      <c r="V21" s="340">
        <f t="shared" si="4"/>
      </c>
    </row>
    <row r="22" spans="1:22" ht="9.75">
      <c r="A22" s="314"/>
      <c r="B22" s="314"/>
      <c r="C22" s="323"/>
      <c r="D22" s="314"/>
      <c r="E22" s="316"/>
      <c r="F22" s="317"/>
      <c r="G22" s="314"/>
      <c r="H22" s="314"/>
      <c r="I22" s="318"/>
      <c r="J22" s="319"/>
      <c r="K22" s="319"/>
      <c r="L22" s="319"/>
      <c r="M22" s="319"/>
      <c r="N22" s="320"/>
      <c r="O22" s="309">
        <f t="shared" si="0"/>
      </c>
      <c r="P22" s="309">
        <f t="shared" si="1"/>
      </c>
      <c r="Q22" s="312"/>
      <c r="R22" s="309">
        <f t="shared" si="2"/>
      </c>
      <c r="S22" s="310">
        <f t="shared" si="3"/>
        <v>0</v>
      </c>
      <c r="T22" s="341"/>
      <c r="U22" s="319"/>
      <c r="V22" s="340">
        <f t="shared" si="4"/>
      </c>
    </row>
    <row r="23" spans="1:22" ht="9.75">
      <c r="A23" s="314"/>
      <c r="B23" s="314"/>
      <c r="C23" s="323"/>
      <c r="D23" s="314"/>
      <c r="E23" s="316"/>
      <c r="F23" s="317"/>
      <c r="G23" s="314"/>
      <c r="H23" s="314"/>
      <c r="I23" s="318"/>
      <c r="J23" s="319"/>
      <c r="K23" s="319"/>
      <c r="L23" s="319"/>
      <c r="M23" s="319"/>
      <c r="N23" s="320"/>
      <c r="O23" s="309">
        <f t="shared" si="0"/>
      </c>
      <c r="P23" s="309">
        <f t="shared" si="1"/>
      </c>
      <c r="Q23" s="312"/>
      <c r="R23" s="309">
        <f t="shared" si="2"/>
      </c>
      <c r="S23" s="310">
        <f t="shared" si="3"/>
        <v>0</v>
      </c>
      <c r="T23" s="341"/>
      <c r="U23" s="319"/>
      <c r="V23" s="340">
        <f t="shared" si="4"/>
      </c>
    </row>
    <row r="24" spans="1:22" s="188" customFormat="1" ht="9.75">
      <c r="A24" s="321"/>
      <c r="B24" s="321"/>
      <c r="C24" s="322"/>
      <c r="D24" s="321"/>
      <c r="E24" s="324"/>
      <c r="F24" s="325"/>
      <c r="G24" s="314"/>
      <c r="H24" s="314"/>
      <c r="I24" s="318"/>
      <c r="J24" s="319"/>
      <c r="K24" s="319"/>
      <c r="L24" s="319"/>
      <c r="M24" s="319"/>
      <c r="N24" s="320"/>
      <c r="O24" s="309">
        <f t="shared" si="0"/>
      </c>
      <c r="P24" s="309">
        <f t="shared" si="1"/>
      </c>
      <c r="Q24" s="313"/>
      <c r="R24" s="309">
        <f t="shared" si="2"/>
      </c>
      <c r="S24" s="310">
        <f t="shared" si="3"/>
        <v>0</v>
      </c>
      <c r="T24" s="342"/>
      <c r="U24" s="343"/>
      <c r="V24" s="340">
        <f t="shared" si="4"/>
      </c>
    </row>
    <row r="25" spans="1:22" ht="9.75">
      <c r="A25" s="314"/>
      <c r="B25" s="314"/>
      <c r="C25" s="326"/>
      <c r="D25" s="314"/>
      <c r="E25" s="316"/>
      <c r="F25" s="317"/>
      <c r="G25" s="314"/>
      <c r="H25" s="314"/>
      <c r="I25" s="318"/>
      <c r="J25" s="319"/>
      <c r="K25" s="319"/>
      <c r="L25" s="319"/>
      <c r="M25" s="319"/>
      <c r="N25" s="320"/>
      <c r="O25" s="309">
        <f t="shared" si="0"/>
      </c>
      <c r="P25" s="309">
        <f t="shared" si="1"/>
      </c>
      <c r="Q25" s="312"/>
      <c r="R25" s="309">
        <f t="shared" si="2"/>
      </c>
      <c r="S25" s="310">
        <f t="shared" si="3"/>
        <v>0</v>
      </c>
      <c r="T25" s="341"/>
      <c r="U25" s="319"/>
      <c r="V25" s="340">
        <f t="shared" si="4"/>
      </c>
    </row>
    <row r="26" spans="1:22" ht="9.75">
      <c r="A26" s="314"/>
      <c r="B26" s="314"/>
      <c r="C26" s="315"/>
      <c r="D26" s="314"/>
      <c r="E26" s="316"/>
      <c r="F26" s="317"/>
      <c r="G26" s="314"/>
      <c r="H26" s="314"/>
      <c r="I26" s="318"/>
      <c r="J26" s="319"/>
      <c r="K26" s="319"/>
      <c r="L26" s="319"/>
      <c r="M26" s="319"/>
      <c r="N26" s="320"/>
      <c r="O26" s="309">
        <f t="shared" si="0"/>
      </c>
      <c r="P26" s="309">
        <f t="shared" si="1"/>
      </c>
      <c r="Q26" s="312"/>
      <c r="R26" s="309">
        <f t="shared" si="2"/>
      </c>
      <c r="S26" s="310">
        <f t="shared" si="3"/>
        <v>0</v>
      </c>
      <c r="T26" s="341"/>
      <c r="U26" s="319"/>
      <c r="V26" s="340">
        <f t="shared" si="4"/>
      </c>
    </row>
    <row r="27" spans="1:22" s="188" customFormat="1" ht="9.75">
      <c r="A27" s="321"/>
      <c r="B27" s="321"/>
      <c r="C27" s="322"/>
      <c r="D27" s="321"/>
      <c r="E27" s="327"/>
      <c r="F27" s="328"/>
      <c r="G27" s="314"/>
      <c r="H27" s="314"/>
      <c r="I27" s="318"/>
      <c r="J27" s="319"/>
      <c r="K27" s="319"/>
      <c r="L27" s="319"/>
      <c r="M27" s="319"/>
      <c r="N27" s="320"/>
      <c r="O27" s="309">
        <f t="shared" si="0"/>
      </c>
      <c r="P27" s="309">
        <f t="shared" si="1"/>
      </c>
      <c r="Q27" s="313"/>
      <c r="R27" s="309">
        <f t="shared" si="2"/>
      </c>
      <c r="S27" s="310">
        <f t="shared" si="3"/>
        <v>0</v>
      </c>
      <c r="T27" s="342"/>
      <c r="U27" s="343"/>
      <c r="V27" s="340">
        <f t="shared" si="4"/>
      </c>
    </row>
    <row r="28" spans="1:22" ht="9.75">
      <c r="A28" s="314"/>
      <c r="B28" s="314"/>
      <c r="C28" s="323"/>
      <c r="D28" s="314"/>
      <c r="E28" s="316"/>
      <c r="F28" s="317"/>
      <c r="G28" s="314"/>
      <c r="H28" s="314"/>
      <c r="I28" s="318"/>
      <c r="J28" s="319"/>
      <c r="K28" s="319"/>
      <c r="L28" s="319"/>
      <c r="M28" s="319"/>
      <c r="N28" s="320"/>
      <c r="O28" s="309">
        <f t="shared" si="0"/>
      </c>
      <c r="P28" s="309">
        <f t="shared" si="1"/>
      </c>
      <c r="Q28" s="312"/>
      <c r="R28" s="309">
        <f t="shared" si="2"/>
      </c>
      <c r="S28" s="310">
        <f t="shared" si="3"/>
        <v>0</v>
      </c>
      <c r="T28" s="341"/>
      <c r="U28" s="319"/>
      <c r="V28" s="340">
        <f t="shared" si="4"/>
      </c>
    </row>
    <row r="29" spans="1:22" s="188" customFormat="1" ht="9.75">
      <c r="A29" s="321"/>
      <c r="B29" s="321"/>
      <c r="C29" s="323"/>
      <c r="D29" s="314"/>
      <c r="E29" s="329"/>
      <c r="F29" s="330"/>
      <c r="G29" s="314"/>
      <c r="H29" s="314"/>
      <c r="I29" s="318"/>
      <c r="J29" s="319"/>
      <c r="K29" s="319"/>
      <c r="L29" s="319"/>
      <c r="M29" s="319"/>
      <c r="N29" s="320"/>
      <c r="O29" s="309">
        <f t="shared" si="0"/>
      </c>
      <c r="P29" s="309">
        <f t="shared" si="1"/>
      </c>
      <c r="Q29" s="312"/>
      <c r="R29" s="309">
        <f t="shared" si="2"/>
      </c>
      <c r="S29" s="310">
        <f t="shared" si="3"/>
        <v>0</v>
      </c>
      <c r="T29" s="342"/>
      <c r="U29" s="343"/>
      <c r="V29" s="340">
        <f t="shared" si="4"/>
      </c>
    </row>
    <row r="30" spans="1:22" ht="9.75">
      <c r="A30" s="314"/>
      <c r="B30" s="314"/>
      <c r="C30" s="326"/>
      <c r="D30" s="314"/>
      <c r="E30" s="316"/>
      <c r="F30" s="317"/>
      <c r="G30" s="314"/>
      <c r="H30" s="314"/>
      <c r="I30" s="318"/>
      <c r="J30" s="319"/>
      <c r="K30" s="319"/>
      <c r="L30" s="319"/>
      <c r="M30" s="319"/>
      <c r="N30" s="320"/>
      <c r="O30" s="309">
        <f t="shared" si="0"/>
      </c>
      <c r="P30" s="309">
        <f t="shared" si="1"/>
      </c>
      <c r="Q30" s="312"/>
      <c r="R30" s="309">
        <f t="shared" si="2"/>
      </c>
      <c r="S30" s="310">
        <f t="shared" si="3"/>
        <v>0</v>
      </c>
      <c r="T30" s="341"/>
      <c r="U30" s="319"/>
      <c r="V30" s="340">
        <f t="shared" si="4"/>
      </c>
    </row>
    <row r="31" spans="1:22" s="188" customFormat="1" ht="9.75">
      <c r="A31" s="321"/>
      <c r="B31" s="321"/>
      <c r="C31" s="323"/>
      <c r="D31" s="314"/>
      <c r="E31" s="329"/>
      <c r="F31" s="330"/>
      <c r="G31" s="314"/>
      <c r="H31" s="314"/>
      <c r="I31" s="318"/>
      <c r="J31" s="319"/>
      <c r="K31" s="319"/>
      <c r="L31" s="319"/>
      <c r="M31" s="319"/>
      <c r="N31" s="320"/>
      <c r="O31" s="309">
        <f t="shared" si="0"/>
      </c>
      <c r="P31" s="309">
        <f t="shared" si="1"/>
      </c>
      <c r="Q31" s="312"/>
      <c r="R31" s="309">
        <f t="shared" si="2"/>
      </c>
      <c r="S31" s="310">
        <f t="shared" si="3"/>
        <v>0</v>
      </c>
      <c r="T31" s="342"/>
      <c r="U31" s="343"/>
      <c r="V31" s="340">
        <f t="shared" si="4"/>
      </c>
    </row>
    <row r="32" spans="1:22" ht="9.75">
      <c r="A32" s="314"/>
      <c r="B32" s="314"/>
      <c r="C32" s="326"/>
      <c r="D32" s="314"/>
      <c r="E32" s="316"/>
      <c r="F32" s="317"/>
      <c r="G32" s="314"/>
      <c r="H32" s="314"/>
      <c r="I32" s="318"/>
      <c r="J32" s="319"/>
      <c r="K32" s="319"/>
      <c r="L32" s="319"/>
      <c r="M32" s="319"/>
      <c r="N32" s="320"/>
      <c r="O32" s="309">
        <f t="shared" si="0"/>
      </c>
      <c r="P32" s="309">
        <f t="shared" si="1"/>
      </c>
      <c r="Q32" s="312"/>
      <c r="R32" s="309">
        <f t="shared" si="2"/>
      </c>
      <c r="S32" s="310">
        <f t="shared" si="3"/>
        <v>0</v>
      </c>
      <c r="T32" s="341"/>
      <c r="U32" s="319"/>
      <c r="V32" s="340">
        <f t="shared" si="4"/>
      </c>
    </row>
    <row r="33" spans="1:22" ht="9.75">
      <c r="A33" s="314"/>
      <c r="B33" s="314"/>
      <c r="C33" s="326"/>
      <c r="D33" s="321"/>
      <c r="E33" s="327"/>
      <c r="F33" s="328"/>
      <c r="G33" s="314"/>
      <c r="H33" s="314"/>
      <c r="I33" s="318"/>
      <c r="J33" s="319"/>
      <c r="K33" s="319"/>
      <c r="L33" s="319"/>
      <c r="M33" s="319"/>
      <c r="N33" s="320"/>
      <c r="O33" s="309">
        <f t="shared" si="0"/>
      </c>
      <c r="P33" s="309">
        <f t="shared" si="1"/>
      </c>
      <c r="Q33" s="312"/>
      <c r="R33" s="309">
        <f t="shared" si="2"/>
      </c>
      <c r="S33" s="310">
        <f t="shared" si="3"/>
        <v>0</v>
      </c>
      <c r="T33" s="341"/>
      <c r="U33" s="319"/>
      <c r="V33" s="340">
        <f t="shared" si="4"/>
      </c>
    </row>
    <row r="34" spans="1:22" ht="9.75">
      <c r="A34" s="314"/>
      <c r="B34" s="314"/>
      <c r="C34" s="326"/>
      <c r="D34" s="321"/>
      <c r="E34" s="327"/>
      <c r="F34" s="328"/>
      <c r="G34" s="314"/>
      <c r="H34" s="314"/>
      <c r="I34" s="318"/>
      <c r="J34" s="319"/>
      <c r="K34" s="319"/>
      <c r="L34" s="319"/>
      <c r="M34" s="319"/>
      <c r="N34" s="320"/>
      <c r="O34" s="309">
        <f t="shared" si="0"/>
      </c>
      <c r="P34" s="309">
        <f t="shared" si="1"/>
      </c>
      <c r="Q34" s="312"/>
      <c r="R34" s="309">
        <f t="shared" si="2"/>
      </c>
      <c r="S34" s="310">
        <f t="shared" si="3"/>
        <v>0</v>
      </c>
      <c r="T34" s="341"/>
      <c r="U34" s="319"/>
      <c r="V34" s="340">
        <f t="shared" si="4"/>
      </c>
    </row>
    <row r="35" spans="1:22" ht="9.75">
      <c r="A35" s="314"/>
      <c r="B35" s="314"/>
      <c r="C35" s="326"/>
      <c r="D35" s="321"/>
      <c r="E35" s="327"/>
      <c r="F35" s="328"/>
      <c r="G35" s="314"/>
      <c r="H35" s="314"/>
      <c r="I35" s="318"/>
      <c r="J35" s="319"/>
      <c r="K35" s="319"/>
      <c r="L35" s="319"/>
      <c r="M35" s="319"/>
      <c r="N35" s="320"/>
      <c r="O35" s="309">
        <f t="shared" si="0"/>
      </c>
      <c r="P35" s="309">
        <f t="shared" si="1"/>
      </c>
      <c r="Q35" s="312"/>
      <c r="R35" s="309">
        <f t="shared" si="2"/>
      </c>
      <c r="S35" s="310">
        <f t="shared" si="3"/>
        <v>0</v>
      </c>
      <c r="T35" s="341"/>
      <c r="U35" s="319"/>
      <c r="V35" s="340">
        <f t="shared" si="4"/>
      </c>
    </row>
    <row r="36" spans="1:22" ht="9.75">
      <c r="A36" s="314"/>
      <c r="B36" s="314"/>
      <c r="C36" s="326"/>
      <c r="D36" s="321"/>
      <c r="E36" s="327"/>
      <c r="F36" s="328"/>
      <c r="G36" s="314"/>
      <c r="H36" s="314"/>
      <c r="I36" s="318"/>
      <c r="J36" s="319"/>
      <c r="K36" s="319"/>
      <c r="L36" s="319"/>
      <c r="M36" s="319"/>
      <c r="N36" s="320"/>
      <c r="O36" s="309">
        <f t="shared" si="0"/>
      </c>
      <c r="P36" s="309">
        <f t="shared" si="1"/>
      </c>
      <c r="Q36" s="312"/>
      <c r="R36" s="309">
        <f t="shared" si="2"/>
      </c>
      <c r="S36" s="310">
        <f t="shared" si="3"/>
        <v>0</v>
      </c>
      <c r="T36" s="341"/>
      <c r="U36" s="319"/>
      <c r="V36" s="340">
        <f t="shared" si="4"/>
      </c>
    </row>
    <row r="37" spans="1:22" ht="9.75">
      <c r="A37" s="314"/>
      <c r="B37" s="314"/>
      <c r="C37" s="326"/>
      <c r="D37" s="321"/>
      <c r="E37" s="327"/>
      <c r="F37" s="328"/>
      <c r="G37" s="314"/>
      <c r="H37" s="314"/>
      <c r="I37" s="318"/>
      <c r="J37" s="319"/>
      <c r="K37" s="319"/>
      <c r="L37" s="319"/>
      <c r="M37" s="319"/>
      <c r="N37" s="320"/>
      <c r="O37" s="309">
        <f t="shared" si="0"/>
      </c>
      <c r="P37" s="309">
        <f t="shared" si="1"/>
      </c>
      <c r="Q37" s="312"/>
      <c r="R37" s="309">
        <f t="shared" si="2"/>
      </c>
      <c r="S37" s="310">
        <f t="shared" si="3"/>
        <v>0</v>
      </c>
      <c r="T37" s="341"/>
      <c r="U37" s="319"/>
      <c r="V37" s="340">
        <f t="shared" si="4"/>
      </c>
    </row>
    <row r="38" spans="1:22" ht="9.75">
      <c r="A38" s="314"/>
      <c r="B38" s="314"/>
      <c r="C38" s="326"/>
      <c r="D38" s="321"/>
      <c r="E38" s="327"/>
      <c r="F38" s="328"/>
      <c r="G38" s="314"/>
      <c r="H38" s="314"/>
      <c r="I38" s="318"/>
      <c r="J38" s="319"/>
      <c r="K38" s="319"/>
      <c r="L38" s="319"/>
      <c r="M38" s="319"/>
      <c r="N38" s="320"/>
      <c r="O38" s="309">
        <f t="shared" si="0"/>
      </c>
      <c r="P38" s="309">
        <f t="shared" si="1"/>
      </c>
      <c r="Q38" s="311"/>
      <c r="R38" s="309">
        <f t="shared" si="2"/>
      </c>
      <c r="S38" s="310">
        <f t="shared" si="3"/>
        <v>0</v>
      </c>
      <c r="T38" s="341"/>
      <c r="U38" s="319"/>
      <c r="V38" s="340">
        <f t="shared" si="4"/>
      </c>
    </row>
    <row r="39" spans="1:22" ht="9.75">
      <c r="A39" s="314"/>
      <c r="B39" s="314"/>
      <c r="C39" s="326"/>
      <c r="D39" s="321"/>
      <c r="E39" s="327"/>
      <c r="F39" s="328"/>
      <c r="G39" s="314"/>
      <c r="H39" s="314"/>
      <c r="I39" s="318"/>
      <c r="J39" s="319"/>
      <c r="K39" s="319"/>
      <c r="L39" s="319"/>
      <c r="M39" s="319"/>
      <c r="N39" s="320"/>
      <c r="O39" s="309">
        <f t="shared" si="0"/>
      </c>
      <c r="P39" s="309">
        <f t="shared" si="1"/>
      </c>
      <c r="Q39" s="312"/>
      <c r="R39" s="309">
        <f t="shared" si="2"/>
      </c>
      <c r="S39" s="310">
        <f t="shared" si="3"/>
        <v>0</v>
      </c>
      <c r="T39" s="341"/>
      <c r="U39" s="319"/>
      <c r="V39" s="340">
        <f t="shared" si="4"/>
      </c>
    </row>
    <row r="40" spans="1:22" ht="9.75">
      <c r="A40" s="314"/>
      <c r="B40" s="314"/>
      <c r="C40" s="326"/>
      <c r="D40" s="321"/>
      <c r="E40" s="327"/>
      <c r="F40" s="328"/>
      <c r="G40" s="314"/>
      <c r="H40" s="314"/>
      <c r="I40" s="318"/>
      <c r="J40" s="319"/>
      <c r="K40" s="319"/>
      <c r="L40" s="319"/>
      <c r="M40" s="319"/>
      <c r="N40" s="320"/>
      <c r="O40" s="309">
        <f t="shared" si="0"/>
      </c>
      <c r="P40" s="309">
        <f t="shared" si="1"/>
      </c>
      <c r="Q40" s="312"/>
      <c r="R40" s="309">
        <f t="shared" si="2"/>
      </c>
      <c r="S40" s="310">
        <f t="shared" si="3"/>
        <v>0</v>
      </c>
      <c r="T40" s="341"/>
      <c r="U40" s="319"/>
      <c r="V40" s="340">
        <f t="shared" si="4"/>
      </c>
    </row>
    <row r="41" spans="1:22" ht="9.75">
      <c r="A41" s="314"/>
      <c r="B41" s="314"/>
      <c r="C41" s="326"/>
      <c r="D41" s="321"/>
      <c r="E41" s="327"/>
      <c r="F41" s="328"/>
      <c r="G41" s="314"/>
      <c r="H41" s="314"/>
      <c r="I41" s="318"/>
      <c r="J41" s="319"/>
      <c r="K41" s="319"/>
      <c r="L41" s="319"/>
      <c r="M41" s="319"/>
      <c r="N41" s="320"/>
      <c r="O41" s="309">
        <f t="shared" si="0"/>
      </c>
      <c r="P41" s="309">
        <f t="shared" si="1"/>
      </c>
      <c r="Q41" s="312"/>
      <c r="R41" s="309">
        <f t="shared" si="2"/>
      </c>
      <c r="S41" s="310">
        <f t="shared" si="3"/>
        <v>0</v>
      </c>
      <c r="T41" s="341"/>
      <c r="U41" s="319"/>
      <c r="V41" s="340">
        <f t="shared" si="4"/>
      </c>
    </row>
    <row r="42" spans="1:22" ht="9.75">
      <c r="A42" s="314"/>
      <c r="B42" s="314"/>
      <c r="C42" s="326"/>
      <c r="D42" s="321"/>
      <c r="E42" s="327"/>
      <c r="F42" s="328"/>
      <c r="G42" s="314"/>
      <c r="H42" s="314"/>
      <c r="I42" s="318"/>
      <c r="J42" s="319"/>
      <c r="K42" s="319"/>
      <c r="L42" s="319"/>
      <c r="M42" s="319"/>
      <c r="N42" s="320"/>
      <c r="O42" s="309">
        <f t="shared" si="0"/>
      </c>
      <c r="P42" s="309">
        <f t="shared" si="1"/>
      </c>
      <c r="Q42" s="312"/>
      <c r="R42" s="309">
        <f t="shared" si="2"/>
      </c>
      <c r="S42" s="310">
        <f t="shared" si="3"/>
        <v>0</v>
      </c>
      <c r="T42" s="341"/>
      <c r="U42" s="319"/>
      <c r="V42" s="340">
        <f t="shared" si="4"/>
      </c>
    </row>
    <row r="43" spans="1:22" ht="9.75">
      <c r="A43" s="314"/>
      <c r="B43" s="314"/>
      <c r="C43" s="326"/>
      <c r="D43" s="321"/>
      <c r="E43" s="327"/>
      <c r="F43" s="328"/>
      <c r="G43" s="314"/>
      <c r="H43" s="314"/>
      <c r="I43" s="318"/>
      <c r="J43" s="319"/>
      <c r="K43" s="319"/>
      <c r="L43" s="319"/>
      <c r="M43" s="319"/>
      <c r="N43" s="320"/>
      <c r="O43" s="309">
        <f t="shared" si="0"/>
      </c>
      <c r="P43" s="309">
        <f t="shared" si="1"/>
      </c>
      <c r="Q43" s="312"/>
      <c r="R43" s="309">
        <f t="shared" si="2"/>
      </c>
      <c r="S43" s="310">
        <f t="shared" si="3"/>
        <v>0</v>
      </c>
      <c r="T43" s="341"/>
      <c r="U43" s="319"/>
      <c r="V43" s="340">
        <f t="shared" si="4"/>
      </c>
    </row>
    <row r="44" spans="1:22" ht="9.75">
      <c r="A44" s="314"/>
      <c r="B44" s="314"/>
      <c r="C44" s="322"/>
      <c r="D44" s="321"/>
      <c r="E44" s="327"/>
      <c r="F44" s="328"/>
      <c r="G44" s="314"/>
      <c r="H44" s="314"/>
      <c r="I44" s="318"/>
      <c r="J44" s="319"/>
      <c r="K44" s="319"/>
      <c r="L44" s="319"/>
      <c r="M44" s="319"/>
      <c r="N44" s="320"/>
      <c r="O44" s="309">
        <f t="shared" si="0"/>
      </c>
      <c r="P44" s="309">
        <f t="shared" si="1"/>
      </c>
      <c r="Q44" s="312"/>
      <c r="R44" s="309">
        <f t="shared" si="2"/>
      </c>
      <c r="S44" s="310">
        <f t="shared" si="3"/>
        <v>0</v>
      </c>
      <c r="T44" s="341"/>
      <c r="U44" s="319"/>
      <c r="V44" s="340">
        <f t="shared" si="4"/>
      </c>
    </row>
    <row r="45" spans="1:22" ht="9.75">
      <c r="A45" s="314"/>
      <c r="B45" s="314"/>
      <c r="C45" s="315"/>
      <c r="D45" s="314"/>
      <c r="E45" s="329"/>
      <c r="F45" s="330"/>
      <c r="G45" s="314"/>
      <c r="H45" s="314"/>
      <c r="I45" s="318"/>
      <c r="J45" s="319"/>
      <c r="K45" s="319"/>
      <c r="L45" s="319"/>
      <c r="M45" s="319"/>
      <c r="N45" s="320"/>
      <c r="O45" s="309">
        <f t="shared" si="0"/>
      </c>
      <c r="P45" s="309">
        <f t="shared" si="1"/>
      </c>
      <c r="Q45" s="312"/>
      <c r="R45" s="309">
        <f t="shared" si="2"/>
      </c>
      <c r="S45" s="310">
        <f t="shared" si="3"/>
        <v>0</v>
      </c>
      <c r="T45" s="341"/>
      <c r="U45" s="319"/>
      <c r="V45" s="340">
        <f t="shared" si="4"/>
      </c>
    </row>
    <row r="46" spans="1:22" ht="9.75">
      <c r="A46" s="314"/>
      <c r="B46" s="314"/>
      <c r="C46" s="315"/>
      <c r="D46" s="314"/>
      <c r="E46" s="329"/>
      <c r="F46" s="330"/>
      <c r="G46" s="314"/>
      <c r="H46" s="314"/>
      <c r="I46" s="318"/>
      <c r="J46" s="319"/>
      <c r="K46" s="319"/>
      <c r="L46" s="319"/>
      <c r="M46" s="319"/>
      <c r="N46" s="320"/>
      <c r="O46" s="309">
        <f t="shared" si="0"/>
      </c>
      <c r="P46" s="309">
        <f t="shared" si="1"/>
      </c>
      <c r="Q46" s="312"/>
      <c r="R46" s="309">
        <f t="shared" si="2"/>
      </c>
      <c r="S46" s="310">
        <f t="shared" si="3"/>
        <v>0</v>
      </c>
      <c r="T46" s="341"/>
      <c r="U46" s="319"/>
      <c r="V46" s="340">
        <f t="shared" si="4"/>
      </c>
    </row>
    <row r="47" spans="1:22" ht="9.75">
      <c r="A47" s="314"/>
      <c r="B47" s="314"/>
      <c r="C47" s="315"/>
      <c r="D47" s="314"/>
      <c r="E47" s="329"/>
      <c r="F47" s="331"/>
      <c r="G47" s="314"/>
      <c r="H47" s="314"/>
      <c r="I47" s="318"/>
      <c r="J47" s="319"/>
      <c r="K47" s="319"/>
      <c r="L47" s="319"/>
      <c r="M47" s="319"/>
      <c r="N47" s="320"/>
      <c r="O47" s="309">
        <f t="shared" si="0"/>
      </c>
      <c r="P47" s="309">
        <f t="shared" si="1"/>
      </c>
      <c r="Q47" s="312"/>
      <c r="R47" s="309">
        <f t="shared" si="2"/>
      </c>
      <c r="S47" s="310">
        <f t="shared" si="3"/>
        <v>0</v>
      </c>
      <c r="T47" s="341"/>
      <c r="U47" s="319"/>
      <c r="V47" s="340">
        <f t="shared" si="4"/>
      </c>
    </row>
    <row r="48" spans="1:22" ht="9.75">
      <c r="A48" s="314"/>
      <c r="B48" s="314"/>
      <c r="C48" s="315"/>
      <c r="D48" s="314"/>
      <c r="E48" s="329"/>
      <c r="F48" s="330"/>
      <c r="G48" s="314"/>
      <c r="H48" s="314"/>
      <c r="I48" s="318"/>
      <c r="J48" s="319"/>
      <c r="K48" s="319"/>
      <c r="L48" s="319"/>
      <c r="M48" s="319"/>
      <c r="N48" s="320"/>
      <c r="O48" s="309">
        <f t="shared" si="0"/>
      </c>
      <c r="P48" s="309">
        <f t="shared" si="1"/>
      </c>
      <c r="Q48" s="312"/>
      <c r="R48" s="309">
        <f t="shared" si="2"/>
      </c>
      <c r="S48" s="310">
        <f t="shared" si="3"/>
        <v>0</v>
      </c>
      <c r="T48" s="341"/>
      <c r="U48" s="319"/>
      <c r="V48" s="340">
        <f t="shared" si="4"/>
      </c>
    </row>
    <row r="49" spans="1:22" ht="9.75">
      <c r="A49" s="314"/>
      <c r="B49" s="314"/>
      <c r="C49" s="315"/>
      <c r="D49" s="314"/>
      <c r="E49" s="329"/>
      <c r="F49" s="330"/>
      <c r="G49" s="314"/>
      <c r="H49" s="314"/>
      <c r="I49" s="318"/>
      <c r="J49" s="319"/>
      <c r="K49" s="319"/>
      <c r="L49" s="319"/>
      <c r="M49" s="319"/>
      <c r="N49" s="320"/>
      <c r="O49" s="309">
        <f t="shared" si="0"/>
      </c>
      <c r="P49" s="309">
        <f t="shared" si="1"/>
      </c>
      <c r="Q49" s="312"/>
      <c r="R49" s="309">
        <f t="shared" si="2"/>
      </c>
      <c r="S49" s="310">
        <f t="shared" si="3"/>
        <v>0</v>
      </c>
      <c r="T49" s="341"/>
      <c r="U49" s="319"/>
      <c r="V49" s="340">
        <f t="shared" si="4"/>
      </c>
    </row>
    <row r="50" spans="1:22" ht="9.75">
      <c r="A50" s="314"/>
      <c r="B50" s="314"/>
      <c r="C50" s="315"/>
      <c r="D50" s="314"/>
      <c r="E50" s="329"/>
      <c r="F50" s="330"/>
      <c r="G50" s="314"/>
      <c r="H50" s="314"/>
      <c r="I50" s="318"/>
      <c r="J50" s="319"/>
      <c r="K50" s="319"/>
      <c r="L50" s="319"/>
      <c r="M50" s="319"/>
      <c r="N50" s="320"/>
      <c r="O50" s="309">
        <f t="shared" si="0"/>
      </c>
      <c r="P50" s="309">
        <f t="shared" si="1"/>
      </c>
      <c r="Q50" s="312"/>
      <c r="R50" s="309">
        <f t="shared" si="2"/>
      </c>
      <c r="S50" s="310">
        <f t="shared" si="3"/>
        <v>0</v>
      </c>
      <c r="T50" s="341"/>
      <c r="U50" s="319"/>
      <c r="V50" s="340">
        <f t="shared" si="4"/>
      </c>
    </row>
    <row r="51" spans="1:22" ht="9.75">
      <c r="A51" s="314"/>
      <c r="B51" s="314"/>
      <c r="C51" s="315"/>
      <c r="D51" s="314"/>
      <c r="E51" s="329"/>
      <c r="F51" s="330"/>
      <c r="G51" s="314"/>
      <c r="H51" s="314"/>
      <c r="I51" s="318"/>
      <c r="J51" s="319"/>
      <c r="K51" s="319"/>
      <c r="L51" s="319"/>
      <c r="M51" s="319"/>
      <c r="N51" s="320"/>
      <c r="O51" s="309">
        <f t="shared" si="0"/>
      </c>
      <c r="P51" s="309">
        <f t="shared" si="1"/>
      </c>
      <c r="Q51" s="312"/>
      <c r="R51" s="309">
        <f t="shared" si="2"/>
      </c>
      <c r="S51" s="310">
        <f t="shared" si="3"/>
        <v>0</v>
      </c>
      <c r="T51" s="341"/>
      <c r="U51" s="319"/>
      <c r="V51" s="340">
        <f t="shared" si="4"/>
      </c>
    </row>
    <row r="52" spans="1:22" ht="9.75">
      <c r="A52" s="314"/>
      <c r="B52" s="314"/>
      <c r="C52" s="315"/>
      <c r="D52" s="314"/>
      <c r="E52" s="329"/>
      <c r="F52" s="330"/>
      <c r="G52" s="314"/>
      <c r="H52" s="314"/>
      <c r="I52" s="318"/>
      <c r="J52" s="319"/>
      <c r="K52" s="319"/>
      <c r="L52" s="319"/>
      <c r="M52" s="319"/>
      <c r="N52" s="320"/>
      <c r="O52" s="309">
        <f t="shared" si="0"/>
      </c>
      <c r="P52" s="309">
        <f t="shared" si="1"/>
      </c>
      <c r="Q52" s="312"/>
      <c r="R52" s="309">
        <f t="shared" si="2"/>
      </c>
      <c r="S52" s="310">
        <f t="shared" si="3"/>
        <v>0</v>
      </c>
      <c r="T52" s="341"/>
      <c r="U52" s="319"/>
      <c r="V52" s="340">
        <f t="shared" si="4"/>
      </c>
    </row>
    <row r="53" spans="1:22" ht="9.75">
      <c r="A53" s="314"/>
      <c r="B53" s="314"/>
      <c r="C53" s="315"/>
      <c r="D53" s="314"/>
      <c r="E53" s="329"/>
      <c r="F53" s="330"/>
      <c r="G53" s="314"/>
      <c r="H53" s="314"/>
      <c r="I53" s="318"/>
      <c r="J53" s="319"/>
      <c r="K53" s="319"/>
      <c r="L53" s="319"/>
      <c r="M53" s="319"/>
      <c r="N53" s="320"/>
      <c r="O53" s="309">
        <f t="shared" si="0"/>
      </c>
      <c r="P53" s="309">
        <f t="shared" si="1"/>
      </c>
      <c r="Q53" s="312"/>
      <c r="R53" s="309">
        <f t="shared" si="2"/>
      </c>
      <c r="S53" s="310">
        <f t="shared" si="3"/>
        <v>0</v>
      </c>
      <c r="T53" s="341"/>
      <c r="U53" s="319"/>
      <c r="V53" s="340">
        <f t="shared" si="4"/>
      </c>
    </row>
    <row r="54" spans="1:22" ht="9.75">
      <c r="A54" s="314"/>
      <c r="B54" s="314"/>
      <c r="C54" s="315"/>
      <c r="D54" s="314"/>
      <c r="E54" s="329"/>
      <c r="F54" s="330"/>
      <c r="G54" s="314"/>
      <c r="H54" s="314"/>
      <c r="I54" s="318"/>
      <c r="J54" s="319"/>
      <c r="K54" s="319"/>
      <c r="L54" s="319"/>
      <c r="M54" s="319"/>
      <c r="N54" s="320"/>
      <c r="O54" s="309">
        <f t="shared" si="0"/>
      </c>
      <c r="P54" s="309">
        <f t="shared" si="1"/>
      </c>
      <c r="Q54" s="312"/>
      <c r="R54" s="309">
        <f t="shared" si="2"/>
      </c>
      <c r="S54" s="310">
        <f t="shared" si="3"/>
        <v>0</v>
      </c>
      <c r="T54" s="341"/>
      <c r="U54" s="319"/>
      <c r="V54" s="340">
        <f t="shared" si="4"/>
      </c>
    </row>
    <row r="55" spans="1:22" ht="9.75">
      <c r="A55" s="314"/>
      <c r="B55" s="314"/>
      <c r="C55" s="315"/>
      <c r="D55" s="314"/>
      <c r="E55" s="329"/>
      <c r="F55" s="330"/>
      <c r="G55" s="314"/>
      <c r="H55" s="314"/>
      <c r="I55" s="318"/>
      <c r="J55" s="319"/>
      <c r="K55" s="319"/>
      <c r="L55" s="319"/>
      <c r="M55" s="319"/>
      <c r="N55" s="320"/>
      <c r="O55" s="309">
        <f t="shared" si="0"/>
      </c>
      <c r="P55" s="309">
        <f t="shared" si="1"/>
      </c>
      <c r="Q55" s="312"/>
      <c r="R55" s="309">
        <f t="shared" si="2"/>
      </c>
      <c r="S55" s="310">
        <f t="shared" si="3"/>
        <v>0</v>
      </c>
      <c r="T55" s="341"/>
      <c r="U55" s="319"/>
      <c r="V55" s="340">
        <f t="shared" si="4"/>
      </c>
    </row>
    <row r="56" spans="1:22" ht="9.75">
      <c r="A56" s="314"/>
      <c r="B56" s="314"/>
      <c r="C56" s="315"/>
      <c r="D56" s="314"/>
      <c r="E56" s="329"/>
      <c r="F56" s="330"/>
      <c r="G56" s="314"/>
      <c r="H56" s="314"/>
      <c r="I56" s="318"/>
      <c r="J56" s="319"/>
      <c r="K56" s="319"/>
      <c r="L56" s="319"/>
      <c r="M56" s="319"/>
      <c r="N56" s="320"/>
      <c r="O56" s="309">
        <f t="shared" si="0"/>
      </c>
      <c r="P56" s="309">
        <f t="shared" si="1"/>
      </c>
      <c r="Q56" s="312"/>
      <c r="R56" s="309">
        <f t="shared" si="2"/>
      </c>
      <c r="S56" s="310">
        <f t="shared" si="3"/>
        <v>0</v>
      </c>
      <c r="T56" s="341"/>
      <c r="U56" s="319"/>
      <c r="V56" s="340">
        <f t="shared" si="4"/>
      </c>
    </row>
    <row r="57" spans="1:22" ht="9.75">
      <c r="A57" s="314"/>
      <c r="B57" s="314"/>
      <c r="C57" s="315"/>
      <c r="D57" s="314"/>
      <c r="E57" s="329"/>
      <c r="F57" s="330"/>
      <c r="G57" s="314"/>
      <c r="H57" s="314"/>
      <c r="I57" s="318"/>
      <c r="J57" s="319"/>
      <c r="K57" s="319"/>
      <c r="L57" s="319"/>
      <c r="M57" s="319"/>
      <c r="N57" s="320"/>
      <c r="O57" s="309">
        <f t="shared" si="0"/>
      </c>
      <c r="P57" s="309">
        <f t="shared" si="1"/>
      </c>
      <c r="Q57" s="312"/>
      <c r="R57" s="309">
        <f t="shared" si="2"/>
      </c>
      <c r="S57" s="310">
        <f t="shared" si="3"/>
        <v>0</v>
      </c>
      <c r="T57" s="341"/>
      <c r="U57" s="319"/>
      <c r="V57" s="340">
        <f t="shared" si="4"/>
      </c>
    </row>
    <row r="58" spans="1:22" ht="9.75">
      <c r="A58" s="314"/>
      <c r="B58" s="314"/>
      <c r="C58" s="315"/>
      <c r="D58" s="314"/>
      <c r="E58" s="329"/>
      <c r="F58" s="330"/>
      <c r="G58" s="314"/>
      <c r="H58" s="314"/>
      <c r="I58" s="318"/>
      <c r="J58" s="319"/>
      <c r="K58" s="319"/>
      <c r="L58" s="319"/>
      <c r="M58" s="319"/>
      <c r="N58" s="320"/>
      <c r="O58" s="309">
        <f t="shared" si="0"/>
      </c>
      <c r="P58" s="309">
        <f t="shared" si="1"/>
      </c>
      <c r="Q58" s="312"/>
      <c r="R58" s="309">
        <f t="shared" si="2"/>
      </c>
      <c r="S58" s="310">
        <f t="shared" si="3"/>
        <v>0</v>
      </c>
      <c r="T58" s="341"/>
      <c r="U58" s="319"/>
      <c r="V58" s="340">
        <f t="shared" si="4"/>
      </c>
    </row>
    <row r="59" spans="1:22" ht="9.75">
      <c r="A59" s="314"/>
      <c r="B59" s="314"/>
      <c r="C59" s="315"/>
      <c r="D59" s="314"/>
      <c r="E59" s="329"/>
      <c r="F59" s="330"/>
      <c r="G59" s="314"/>
      <c r="H59" s="314"/>
      <c r="I59" s="318"/>
      <c r="J59" s="319"/>
      <c r="K59" s="319"/>
      <c r="L59" s="319"/>
      <c r="M59" s="319"/>
      <c r="N59" s="320"/>
      <c r="O59" s="309">
        <f t="shared" si="0"/>
      </c>
      <c r="P59" s="309">
        <f t="shared" si="1"/>
      </c>
      <c r="Q59" s="312"/>
      <c r="R59" s="309">
        <f t="shared" si="2"/>
      </c>
      <c r="S59" s="310">
        <f t="shared" si="3"/>
        <v>0</v>
      </c>
      <c r="T59" s="341"/>
      <c r="U59" s="319"/>
      <c r="V59" s="340">
        <f t="shared" si="4"/>
      </c>
    </row>
    <row r="60" spans="1:22" ht="9.75">
      <c r="A60" s="314"/>
      <c r="B60" s="314"/>
      <c r="C60" s="315"/>
      <c r="D60" s="314"/>
      <c r="E60" s="329"/>
      <c r="F60" s="330"/>
      <c r="G60" s="314"/>
      <c r="H60" s="314"/>
      <c r="I60" s="318"/>
      <c r="J60" s="319"/>
      <c r="K60" s="319"/>
      <c r="L60" s="319"/>
      <c r="M60" s="319"/>
      <c r="N60" s="320"/>
      <c r="O60" s="309">
        <f t="shared" si="0"/>
      </c>
      <c r="P60" s="309">
        <f t="shared" si="1"/>
      </c>
      <c r="Q60" s="312"/>
      <c r="R60" s="309">
        <f t="shared" si="2"/>
      </c>
      <c r="S60" s="310">
        <f t="shared" si="3"/>
        <v>0</v>
      </c>
      <c r="T60" s="341"/>
      <c r="U60" s="319"/>
      <c r="V60" s="340">
        <f t="shared" si="4"/>
      </c>
    </row>
    <row r="61" spans="1:22" ht="9.75">
      <c r="A61" s="314"/>
      <c r="B61" s="314"/>
      <c r="C61" s="315"/>
      <c r="D61" s="314"/>
      <c r="E61" s="329"/>
      <c r="F61" s="330"/>
      <c r="G61" s="314"/>
      <c r="H61" s="314"/>
      <c r="I61" s="318"/>
      <c r="J61" s="319"/>
      <c r="K61" s="319"/>
      <c r="L61" s="319"/>
      <c r="M61" s="319"/>
      <c r="N61" s="320"/>
      <c r="O61" s="309">
        <f t="shared" si="0"/>
      </c>
      <c r="P61" s="309">
        <f t="shared" si="1"/>
      </c>
      <c r="Q61" s="312"/>
      <c r="R61" s="309">
        <f t="shared" si="2"/>
      </c>
      <c r="S61" s="310">
        <f t="shared" si="3"/>
        <v>0</v>
      </c>
      <c r="T61" s="341"/>
      <c r="U61" s="319"/>
      <c r="V61" s="340">
        <f t="shared" si="4"/>
      </c>
    </row>
    <row r="62" spans="1:22" ht="9.75">
      <c r="A62" s="314"/>
      <c r="B62" s="314"/>
      <c r="C62" s="315"/>
      <c r="D62" s="314"/>
      <c r="E62" s="329"/>
      <c r="F62" s="330"/>
      <c r="G62" s="314"/>
      <c r="H62" s="314"/>
      <c r="I62" s="318"/>
      <c r="J62" s="319"/>
      <c r="K62" s="319"/>
      <c r="L62" s="319"/>
      <c r="M62" s="319"/>
      <c r="N62" s="320"/>
      <c r="O62" s="309">
        <f t="shared" si="0"/>
      </c>
      <c r="P62" s="309">
        <f t="shared" si="1"/>
      </c>
      <c r="Q62" s="312"/>
      <c r="R62" s="309">
        <f t="shared" si="2"/>
      </c>
      <c r="S62" s="310">
        <f t="shared" si="3"/>
        <v>0</v>
      </c>
      <c r="T62" s="341"/>
      <c r="U62" s="319"/>
      <c r="V62" s="340">
        <f t="shared" si="4"/>
      </c>
    </row>
    <row r="63" spans="1:22" ht="9.75">
      <c r="A63" s="314"/>
      <c r="B63" s="314"/>
      <c r="C63" s="315"/>
      <c r="D63" s="314"/>
      <c r="E63" s="329"/>
      <c r="F63" s="330"/>
      <c r="G63" s="314"/>
      <c r="H63" s="314"/>
      <c r="I63" s="318"/>
      <c r="J63" s="319"/>
      <c r="K63" s="319"/>
      <c r="L63" s="319"/>
      <c r="M63" s="319"/>
      <c r="N63" s="320"/>
      <c r="O63" s="309">
        <f t="shared" si="0"/>
      </c>
      <c r="P63" s="309">
        <f t="shared" si="1"/>
      </c>
      <c r="Q63" s="312"/>
      <c r="R63" s="309">
        <f t="shared" si="2"/>
      </c>
      <c r="S63" s="310">
        <f t="shared" si="3"/>
        <v>0</v>
      </c>
      <c r="T63" s="341"/>
      <c r="U63" s="319"/>
      <c r="V63" s="340">
        <f t="shared" si="4"/>
      </c>
    </row>
    <row r="64" spans="1:22" ht="9.75">
      <c r="A64" s="314"/>
      <c r="B64" s="314"/>
      <c r="C64" s="315"/>
      <c r="D64" s="314"/>
      <c r="E64" s="329"/>
      <c r="F64" s="330"/>
      <c r="G64" s="314"/>
      <c r="H64" s="314"/>
      <c r="I64" s="318"/>
      <c r="J64" s="319"/>
      <c r="K64" s="319"/>
      <c r="L64" s="319"/>
      <c r="M64" s="319"/>
      <c r="N64" s="320"/>
      <c r="O64" s="309">
        <f t="shared" si="0"/>
      </c>
      <c r="P64" s="309">
        <f t="shared" si="1"/>
      </c>
      <c r="Q64" s="312"/>
      <c r="R64" s="309">
        <f t="shared" si="2"/>
      </c>
      <c r="S64" s="310">
        <f t="shared" si="3"/>
        <v>0</v>
      </c>
      <c r="T64" s="341"/>
      <c r="U64" s="319"/>
      <c r="V64" s="340">
        <f t="shared" si="4"/>
      </c>
    </row>
    <row r="65" spans="1:22" ht="9.75">
      <c r="A65" s="314"/>
      <c r="B65" s="314"/>
      <c r="C65" s="315"/>
      <c r="D65" s="314"/>
      <c r="E65" s="329"/>
      <c r="F65" s="330"/>
      <c r="G65" s="314"/>
      <c r="H65" s="314"/>
      <c r="I65" s="318"/>
      <c r="J65" s="319"/>
      <c r="K65" s="319"/>
      <c r="L65" s="319"/>
      <c r="M65" s="319"/>
      <c r="N65" s="320"/>
      <c r="O65" s="309">
        <f t="shared" si="0"/>
      </c>
      <c r="P65" s="309">
        <f t="shared" si="1"/>
      </c>
      <c r="Q65" s="312"/>
      <c r="R65" s="309">
        <f t="shared" si="2"/>
      </c>
      <c r="S65" s="310">
        <f t="shared" si="3"/>
        <v>0</v>
      </c>
      <c r="T65" s="341"/>
      <c r="U65" s="319"/>
      <c r="V65" s="340">
        <f t="shared" si="4"/>
      </c>
    </row>
    <row r="66" spans="1:22" ht="9.75">
      <c r="A66" s="314"/>
      <c r="B66" s="314"/>
      <c r="C66" s="315"/>
      <c r="D66" s="314"/>
      <c r="E66" s="329"/>
      <c r="F66" s="330"/>
      <c r="G66" s="314"/>
      <c r="H66" s="314"/>
      <c r="I66" s="318"/>
      <c r="J66" s="319"/>
      <c r="K66" s="319"/>
      <c r="L66" s="319"/>
      <c r="M66" s="319"/>
      <c r="N66" s="320"/>
      <c r="O66" s="309">
        <f t="shared" si="0"/>
      </c>
      <c r="P66" s="309">
        <f t="shared" si="1"/>
      </c>
      <c r="Q66" s="312"/>
      <c r="R66" s="309">
        <f t="shared" si="2"/>
      </c>
      <c r="S66" s="310">
        <f t="shared" si="3"/>
        <v>0</v>
      </c>
      <c r="T66" s="341"/>
      <c r="U66" s="319"/>
      <c r="V66" s="340">
        <f t="shared" si="4"/>
      </c>
    </row>
    <row r="67" spans="1:22" ht="9.75">
      <c r="A67" s="314"/>
      <c r="B67" s="314"/>
      <c r="C67" s="315"/>
      <c r="D67" s="314"/>
      <c r="E67" s="329"/>
      <c r="F67" s="330"/>
      <c r="G67" s="314"/>
      <c r="H67" s="314"/>
      <c r="I67" s="318"/>
      <c r="J67" s="319"/>
      <c r="K67" s="319"/>
      <c r="L67" s="319"/>
      <c r="M67" s="319"/>
      <c r="N67" s="320"/>
      <c r="O67" s="309">
        <f t="shared" si="0"/>
      </c>
      <c r="P67" s="309">
        <f t="shared" si="1"/>
      </c>
      <c r="Q67" s="312"/>
      <c r="R67" s="309">
        <f t="shared" si="2"/>
      </c>
      <c r="S67" s="310">
        <f t="shared" si="3"/>
        <v>0</v>
      </c>
      <c r="T67" s="341"/>
      <c r="U67" s="319"/>
      <c r="V67" s="340">
        <f t="shared" si="4"/>
      </c>
    </row>
    <row r="68" spans="1:22" ht="9.75">
      <c r="A68" s="314"/>
      <c r="B68" s="314"/>
      <c r="C68" s="315"/>
      <c r="D68" s="314"/>
      <c r="E68" s="329"/>
      <c r="F68" s="330"/>
      <c r="G68" s="314"/>
      <c r="H68" s="314"/>
      <c r="I68" s="318"/>
      <c r="J68" s="319"/>
      <c r="K68" s="319"/>
      <c r="L68" s="319"/>
      <c r="M68" s="319"/>
      <c r="N68" s="320"/>
      <c r="O68" s="309">
        <f t="shared" si="0"/>
      </c>
      <c r="P68" s="309">
        <f t="shared" si="1"/>
      </c>
      <c r="Q68" s="312"/>
      <c r="R68" s="309">
        <f t="shared" si="2"/>
      </c>
      <c r="S68" s="310">
        <f t="shared" si="3"/>
        <v>0</v>
      </c>
      <c r="T68" s="341"/>
      <c r="U68" s="319"/>
      <c r="V68" s="340">
        <f t="shared" si="4"/>
      </c>
    </row>
    <row r="69" spans="1:22" ht="9.75">
      <c r="A69" s="314"/>
      <c r="B69" s="314"/>
      <c r="C69" s="315"/>
      <c r="D69" s="314"/>
      <c r="E69" s="329"/>
      <c r="F69" s="330"/>
      <c r="G69" s="314"/>
      <c r="H69" s="314"/>
      <c r="I69" s="318"/>
      <c r="J69" s="319"/>
      <c r="K69" s="319"/>
      <c r="L69" s="319"/>
      <c r="M69" s="319"/>
      <c r="N69" s="320"/>
      <c r="O69" s="309">
        <f t="shared" si="0"/>
      </c>
      <c r="P69" s="309">
        <f t="shared" si="1"/>
      </c>
      <c r="Q69" s="312"/>
      <c r="R69" s="309">
        <f t="shared" si="2"/>
      </c>
      <c r="S69" s="310">
        <f t="shared" si="3"/>
        <v>0</v>
      </c>
      <c r="T69" s="341"/>
      <c r="U69" s="319"/>
      <c r="V69" s="340">
        <f t="shared" si="4"/>
      </c>
    </row>
    <row r="70" spans="1:22" ht="9.75">
      <c r="A70" s="314"/>
      <c r="B70" s="314"/>
      <c r="C70" s="315"/>
      <c r="D70" s="314"/>
      <c r="E70" s="329"/>
      <c r="F70" s="330"/>
      <c r="G70" s="314"/>
      <c r="H70" s="314"/>
      <c r="I70" s="318"/>
      <c r="J70" s="319"/>
      <c r="K70" s="319"/>
      <c r="L70" s="319"/>
      <c r="M70" s="319"/>
      <c r="N70" s="320"/>
      <c r="O70" s="309">
        <f t="shared" si="0"/>
      </c>
      <c r="P70" s="309">
        <f t="shared" si="1"/>
      </c>
      <c r="Q70" s="312"/>
      <c r="R70" s="309">
        <f t="shared" si="2"/>
      </c>
      <c r="S70" s="310">
        <f t="shared" si="3"/>
        <v>0</v>
      </c>
      <c r="T70" s="341"/>
      <c r="U70" s="319"/>
      <c r="V70" s="340">
        <f t="shared" si="4"/>
      </c>
    </row>
    <row r="71" spans="1:22" ht="9.75">
      <c r="A71" s="314"/>
      <c r="B71" s="314"/>
      <c r="C71" s="315"/>
      <c r="D71" s="314"/>
      <c r="E71" s="329"/>
      <c r="F71" s="330"/>
      <c r="G71" s="314"/>
      <c r="H71" s="314"/>
      <c r="I71" s="318"/>
      <c r="J71" s="319"/>
      <c r="K71" s="319"/>
      <c r="L71" s="319"/>
      <c r="M71" s="319"/>
      <c r="N71" s="320"/>
      <c r="O71" s="309">
        <f t="shared" si="0"/>
      </c>
      <c r="P71" s="309">
        <f t="shared" si="1"/>
      </c>
      <c r="Q71" s="312"/>
      <c r="R71" s="309">
        <f t="shared" si="2"/>
      </c>
      <c r="S71" s="310">
        <f t="shared" si="3"/>
        <v>0</v>
      </c>
      <c r="T71" s="341"/>
      <c r="U71" s="319"/>
      <c r="V71" s="340">
        <f t="shared" si="4"/>
      </c>
    </row>
    <row r="72" spans="1:22" ht="9.75">
      <c r="A72" s="314"/>
      <c r="B72" s="314"/>
      <c r="C72" s="315"/>
      <c r="D72" s="314"/>
      <c r="E72" s="329"/>
      <c r="F72" s="330"/>
      <c r="G72" s="314"/>
      <c r="H72" s="314"/>
      <c r="I72" s="318"/>
      <c r="J72" s="319"/>
      <c r="K72" s="319"/>
      <c r="L72" s="319"/>
      <c r="M72" s="319"/>
      <c r="N72" s="320"/>
      <c r="O72" s="309">
        <f aca="true" t="shared" si="5" ref="O72:O97">IF(I72="","",IF(I72="N","",IF(N72="A",FLOOR(L72*0.135,1),FLOOR(L72*0.135,1))))</f>
      </c>
      <c r="P72" s="309">
        <f aca="true" t="shared" si="6" ref="P72:P97">IF(I72="","",IF(I72="N","",IF(N72="A",FLOOR(L72*0.9*0.85,1),FLOOR(L72*0.9*0.85,1))))</f>
      </c>
      <c r="Q72" s="312"/>
      <c r="R72" s="309">
        <f aca="true" t="shared" si="7" ref="R72:R97">IF(I72="","",IF(I72="N",L72,L72-O72-P72))</f>
      </c>
      <c r="S72" s="310">
        <f aca="true" t="shared" si="8" ref="S72:S97">IF(SUM(O72:R72)=L72,SUM(O72:R72),"Chyba")</f>
        <v>0</v>
      </c>
      <c r="T72" s="341"/>
      <c r="U72" s="319"/>
      <c r="V72" s="340">
        <f aca="true" t="shared" si="9" ref="V72:V98">IF(T72="","",T72+U72)</f>
      </c>
    </row>
    <row r="73" spans="1:22" ht="9.75">
      <c r="A73" s="314"/>
      <c r="B73" s="314"/>
      <c r="C73" s="315"/>
      <c r="D73" s="314"/>
      <c r="E73" s="329"/>
      <c r="F73" s="330"/>
      <c r="G73" s="314"/>
      <c r="H73" s="314"/>
      <c r="I73" s="318"/>
      <c r="J73" s="319"/>
      <c r="K73" s="319"/>
      <c r="L73" s="319"/>
      <c r="M73" s="319"/>
      <c r="N73" s="320"/>
      <c r="O73" s="309">
        <f t="shared" si="5"/>
      </c>
      <c r="P73" s="309">
        <f t="shared" si="6"/>
      </c>
      <c r="Q73" s="312"/>
      <c r="R73" s="309">
        <f t="shared" si="7"/>
      </c>
      <c r="S73" s="310">
        <f t="shared" si="8"/>
        <v>0</v>
      </c>
      <c r="T73" s="341"/>
      <c r="U73" s="319"/>
      <c r="V73" s="340">
        <f t="shared" si="9"/>
      </c>
    </row>
    <row r="74" spans="1:22" ht="9.75">
      <c r="A74" s="314"/>
      <c r="B74" s="314"/>
      <c r="C74" s="315"/>
      <c r="D74" s="314"/>
      <c r="E74" s="329"/>
      <c r="F74" s="330"/>
      <c r="G74" s="314"/>
      <c r="H74" s="314"/>
      <c r="I74" s="318"/>
      <c r="J74" s="319"/>
      <c r="K74" s="319"/>
      <c r="L74" s="319"/>
      <c r="M74" s="319"/>
      <c r="N74" s="320"/>
      <c r="O74" s="309">
        <f t="shared" si="5"/>
      </c>
      <c r="P74" s="309">
        <f t="shared" si="6"/>
      </c>
      <c r="Q74" s="312"/>
      <c r="R74" s="309">
        <f t="shared" si="7"/>
      </c>
      <c r="S74" s="310">
        <f t="shared" si="8"/>
        <v>0</v>
      </c>
      <c r="T74" s="341"/>
      <c r="U74" s="319"/>
      <c r="V74" s="340">
        <f t="shared" si="9"/>
      </c>
    </row>
    <row r="75" spans="1:22" ht="9.75">
      <c r="A75" s="314"/>
      <c r="B75" s="314"/>
      <c r="C75" s="315"/>
      <c r="D75" s="314"/>
      <c r="E75" s="329"/>
      <c r="F75" s="330"/>
      <c r="G75" s="314"/>
      <c r="H75" s="314"/>
      <c r="I75" s="318"/>
      <c r="J75" s="319"/>
      <c r="K75" s="319"/>
      <c r="L75" s="319"/>
      <c r="M75" s="319"/>
      <c r="N75" s="320"/>
      <c r="O75" s="309">
        <f t="shared" si="5"/>
      </c>
      <c r="P75" s="309">
        <f t="shared" si="6"/>
      </c>
      <c r="Q75" s="312"/>
      <c r="R75" s="309">
        <f t="shared" si="7"/>
      </c>
      <c r="S75" s="310">
        <f t="shared" si="8"/>
        <v>0</v>
      </c>
      <c r="T75" s="341"/>
      <c r="U75" s="319"/>
      <c r="V75" s="340">
        <f t="shared" si="9"/>
      </c>
    </row>
    <row r="76" spans="1:22" ht="9.75">
      <c r="A76" s="314"/>
      <c r="B76" s="314"/>
      <c r="C76" s="315"/>
      <c r="D76" s="314"/>
      <c r="E76" s="329"/>
      <c r="F76" s="330"/>
      <c r="G76" s="314"/>
      <c r="H76" s="314"/>
      <c r="I76" s="318"/>
      <c r="J76" s="319"/>
      <c r="K76" s="319"/>
      <c r="L76" s="319"/>
      <c r="M76" s="319"/>
      <c r="N76" s="320"/>
      <c r="O76" s="309">
        <f t="shared" si="5"/>
      </c>
      <c r="P76" s="309">
        <f t="shared" si="6"/>
      </c>
      <c r="Q76" s="312"/>
      <c r="R76" s="309">
        <f t="shared" si="7"/>
      </c>
      <c r="S76" s="310">
        <f t="shared" si="8"/>
        <v>0</v>
      </c>
      <c r="T76" s="341"/>
      <c r="U76" s="319"/>
      <c r="V76" s="340">
        <f t="shared" si="9"/>
      </c>
    </row>
    <row r="77" spans="1:22" ht="9.75">
      <c r="A77" s="314"/>
      <c r="B77" s="314"/>
      <c r="C77" s="315"/>
      <c r="D77" s="314"/>
      <c r="E77" s="329"/>
      <c r="F77" s="330"/>
      <c r="G77" s="314"/>
      <c r="H77" s="314"/>
      <c r="I77" s="318"/>
      <c r="J77" s="319"/>
      <c r="K77" s="319"/>
      <c r="L77" s="319"/>
      <c r="M77" s="319"/>
      <c r="N77" s="320"/>
      <c r="O77" s="309">
        <f t="shared" si="5"/>
      </c>
      <c r="P77" s="309">
        <f t="shared" si="6"/>
      </c>
      <c r="Q77" s="312"/>
      <c r="R77" s="309">
        <f t="shared" si="7"/>
      </c>
      <c r="S77" s="310">
        <f t="shared" si="8"/>
        <v>0</v>
      </c>
      <c r="T77" s="341"/>
      <c r="U77" s="319"/>
      <c r="V77" s="340">
        <f t="shared" si="9"/>
      </c>
    </row>
    <row r="78" spans="1:22" ht="9.75">
      <c r="A78" s="314"/>
      <c r="B78" s="314"/>
      <c r="C78" s="315"/>
      <c r="D78" s="314"/>
      <c r="E78" s="329"/>
      <c r="F78" s="330"/>
      <c r="G78" s="314"/>
      <c r="H78" s="314"/>
      <c r="I78" s="318"/>
      <c r="J78" s="319"/>
      <c r="K78" s="319"/>
      <c r="L78" s="319"/>
      <c r="M78" s="319"/>
      <c r="N78" s="320"/>
      <c r="O78" s="309">
        <f t="shared" si="5"/>
      </c>
      <c r="P78" s="309">
        <f t="shared" si="6"/>
      </c>
      <c r="Q78" s="312"/>
      <c r="R78" s="309">
        <f t="shared" si="7"/>
      </c>
      <c r="S78" s="310">
        <f t="shared" si="8"/>
        <v>0</v>
      </c>
      <c r="T78" s="341"/>
      <c r="U78" s="319"/>
      <c r="V78" s="340">
        <f t="shared" si="9"/>
      </c>
    </row>
    <row r="79" spans="1:22" ht="9.75">
      <c r="A79" s="314"/>
      <c r="B79" s="314"/>
      <c r="C79" s="315"/>
      <c r="D79" s="314"/>
      <c r="E79" s="329"/>
      <c r="F79" s="330"/>
      <c r="G79" s="314"/>
      <c r="H79" s="314"/>
      <c r="I79" s="318"/>
      <c r="J79" s="319"/>
      <c r="K79" s="319"/>
      <c r="L79" s="319"/>
      <c r="M79" s="319"/>
      <c r="N79" s="320"/>
      <c r="O79" s="309">
        <f t="shared" si="5"/>
      </c>
      <c r="P79" s="309">
        <f t="shared" si="6"/>
      </c>
      <c r="Q79" s="312"/>
      <c r="R79" s="309">
        <f t="shared" si="7"/>
      </c>
      <c r="S79" s="310">
        <f t="shared" si="8"/>
        <v>0</v>
      </c>
      <c r="T79" s="341"/>
      <c r="U79" s="319"/>
      <c r="V79" s="340">
        <f t="shared" si="9"/>
      </c>
    </row>
    <row r="80" spans="1:22" ht="9.75">
      <c r="A80" s="314"/>
      <c r="B80" s="314"/>
      <c r="C80" s="315"/>
      <c r="D80" s="314"/>
      <c r="E80" s="329"/>
      <c r="F80" s="330"/>
      <c r="G80" s="314"/>
      <c r="H80" s="314"/>
      <c r="I80" s="318"/>
      <c r="J80" s="319"/>
      <c r="K80" s="319"/>
      <c r="L80" s="319"/>
      <c r="M80" s="319"/>
      <c r="N80" s="320"/>
      <c r="O80" s="309">
        <f t="shared" si="5"/>
      </c>
      <c r="P80" s="309">
        <f t="shared" si="6"/>
      </c>
      <c r="Q80" s="312"/>
      <c r="R80" s="309">
        <f t="shared" si="7"/>
      </c>
      <c r="S80" s="310">
        <f t="shared" si="8"/>
        <v>0</v>
      </c>
      <c r="T80" s="341"/>
      <c r="U80" s="319"/>
      <c r="V80" s="340">
        <f t="shared" si="9"/>
      </c>
    </row>
    <row r="81" spans="1:22" ht="9.75">
      <c r="A81" s="314"/>
      <c r="B81" s="314"/>
      <c r="C81" s="315"/>
      <c r="D81" s="314"/>
      <c r="E81" s="329"/>
      <c r="F81" s="330"/>
      <c r="G81" s="314"/>
      <c r="H81" s="314"/>
      <c r="I81" s="318"/>
      <c r="J81" s="319"/>
      <c r="K81" s="319"/>
      <c r="L81" s="319"/>
      <c r="M81" s="319"/>
      <c r="N81" s="320"/>
      <c r="O81" s="309">
        <f t="shared" si="5"/>
      </c>
      <c r="P81" s="309">
        <f t="shared" si="6"/>
      </c>
      <c r="Q81" s="312"/>
      <c r="R81" s="309">
        <f t="shared" si="7"/>
      </c>
      <c r="S81" s="310">
        <f t="shared" si="8"/>
        <v>0</v>
      </c>
      <c r="T81" s="341"/>
      <c r="U81" s="319"/>
      <c r="V81" s="340">
        <f t="shared" si="9"/>
      </c>
    </row>
    <row r="82" spans="1:22" ht="9.75">
      <c r="A82" s="314"/>
      <c r="B82" s="314"/>
      <c r="C82" s="315"/>
      <c r="D82" s="314"/>
      <c r="E82" s="329"/>
      <c r="F82" s="330"/>
      <c r="G82" s="314"/>
      <c r="H82" s="314"/>
      <c r="I82" s="318"/>
      <c r="J82" s="319"/>
      <c r="K82" s="319"/>
      <c r="L82" s="319"/>
      <c r="M82" s="319"/>
      <c r="N82" s="320"/>
      <c r="O82" s="309">
        <f t="shared" si="5"/>
      </c>
      <c r="P82" s="309">
        <f t="shared" si="6"/>
      </c>
      <c r="Q82" s="312"/>
      <c r="R82" s="309">
        <f t="shared" si="7"/>
      </c>
      <c r="S82" s="310">
        <f t="shared" si="8"/>
        <v>0</v>
      </c>
      <c r="T82" s="341"/>
      <c r="U82" s="319"/>
      <c r="V82" s="340">
        <f t="shared" si="9"/>
      </c>
    </row>
    <row r="83" spans="1:22" ht="9.75">
      <c r="A83" s="314"/>
      <c r="B83" s="314"/>
      <c r="C83" s="315"/>
      <c r="D83" s="314"/>
      <c r="E83" s="329"/>
      <c r="F83" s="330"/>
      <c r="G83" s="314"/>
      <c r="H83" s="314"/>
      <c r="I83" s="318"/>
      <c r="J83" s="319"/>
      <c r="K83" s="319"/>
      <c r="L83" s="319"/>
      <c r="M83" s="319"/>
      <c r="N83" s="320"/>
      <c r="O83" s="309">
        <f t="shared" si="5"/>
      </c>
      <c r="P83" s="309">
        <f t="shared" si="6"/>
      </c>
      <c r="Q83" s="312"/>
      <c r="R83" s="309">
        <f t="shared" si="7"/>
      </c>
      <c r="S83" s="310">
        <f t="shared" si="8"/>
        <v>0</v>
      </c>
      <c r="T83" s="341"/>
      <c r="U83" s="319"/>
      <c r="V83" s="340">
        <f t="shared" si="9"/>
      </c>
    </row>
    <row r="84" spans="1:22" ht="9.75">
      <c r="A84" s="314"/>
      <c r="B84" s="314"/>
      <c r="C84" s="315"/>
      <c r="D84" s="314"/>
      <c r="E84" s="329"/>
      <c r="F84" s="330"/>
      <c r="G84" s="314"/>
      <c r="H84" s="314"/>
      <c r="I84" s="318"/>
      <c r="J84" s="319"/>
      <c r="K84" s="319"/>
      <c r="L84" s="319"/>
      <c r="M84" s="319"/>
      <c r="N84" s="320"/>
      <c r="O84" s="309">
        <f t="shared" si="5"/>
      </c>
      <c r="P84" s="309">
        <f t="shared" si="6"/>
      </c>
      <c r="Q84" s="312"/>
      <c r="R84" s="309">
        <f t="shared" si="7"/>
      </c>
      <c r="S84" s="310">
        <f t="shared" si="8"/>
        <v>0</v>
      </c>
      <c r="T84" s="341"/>
      <c r="U84" s="319"/>
      <c r="V84" s="340">
        <f t="shared" si="9"/>
      </c>
    </row>
    <row r="85" spans="1:22" ht="9.75">
      <c r="A85" s="314"/>
      <c r="B85" s="314"/>
      <c r="C85" s="315"/>
      <c r="D85" s="314"/>
      <c r="E85" s="329"/>
      <c r="F85" s="330"/>
      <c r="G85" s="314"/>
      <c r="H85" s="314"/>
      <c r="I85" s="318"/>
      <c r="J85" s="319"/>
      <c r="K85" s="319"/>
      <c r="L85" s="319"/>
      <c r="M85" s="319"/>
      <c r="N85" s="320"/>
      <c r="O85" s="309">
        <f t="shared" si="5"/>
      </c>
      <c r="P85" s="309">
        <f t="shared" si="6"/>
      </c>
      <c r="Q85" s="312"/>
      <c r="R85" s="309">
        <f t="shared" si="7"/>
      </c>
      <c r="S85" s="310">
        <f t="shared" si="8"/>
        <v>0</v>
      </c>
      <c r="T85" s="341"/>
      <c r="U85" s="319"/>
      <c r="V85" s="340">
        <f t="shared" si="9"/>
      </c>
    </row>
    <row r="86" spans="1:22" ht="9.75">
      <c r="A86" s="314"/>
      <c r="B86" s="314"/>
      <c r="C86" s="315"/>
      <c r="D86" s="314"/>
      <c r="E86" s="329"/>
      <c r="F86" s="330"/>
      <c r="G86" s="314"/>
      <c r="H86" s="314"/>
      <c r="I86" s="318"/>
      <c r="J86" s="319"/>
      <c r="K86" s="319"/>
      <c r="L86" s="319"/>
      <c r="M86" s="319"/>
      <c r="N86" s="320"/>
      <c r="O86" s="309">
        <f t="shared" si="5"/>
      </c>
      <c r="P86" s="309">
        <f t="shared" si="6"/>
      </c>
      <c r="Q86" s="312"/>
      <c r="R86" s="309">
        <f t="shared" si="7"/>
      </c>
      <c r="S86" s="310">
        <f t="shared" si="8"/>
        <v>0</v>
      </c>
      <c r="T86" s="341"/>
      <c r="U86" s="319"/>
      <c r="V86" s="340">
        <f t="shared" si="9"/>
      </c>
    </row>
    <row r="87" spans="1:22" ht="9.75">
      <c r="A87" s="314"/>
      <c r="B87" s="314"/>
      <c r="C87" s="315"/>
      <c r="D87" s="314"/>
      <c r="E87" s="329"/>
      <c r="F87" s="330"/>
      <c r="G87" s="314"/>
      <c r="H87" s="314"/>
      <c r="I87" s="318"/>
      <c r="J87" s="319"/>
      <c r="K87" s="319"/>
      <c r="L87" s="319"/>
      <c r="M87" s="319"/>
      <c r="N87" s="320"/>
      <c r="O87" s="309">
        <f t="shared" si="5"/>
      </c>
      <c r="P87" s="309">
        <f t="shared" si="6"/>
      </c>
      <c r="Q87" s="312"/>
      <c r="R87" s="309">
        <f t="shared" si="7"/>
      </c>
      <c r="S87" s="310">
        <f t="shared" si="8"/>
        <v>0</v>
      </c>
      <c r="T87" s="341"/>
      <c r="U87" s="319"/>
      <c r="V87" s="340">
        <f t="shared" si="9"/>
      </c>
    </row>
    <row r="88" spans="1:22" ht="9.75">
      <c r="A88" s="314"/>
      <c r="B88" s="314"/>
      <c r="C88" s="315"/>
      <c r="D88" s="314"/>
      <c r="E88" s="329"/>
      <c r="F88" s="330"/>
      <c r="G88" s="314"/>
      <c r="H88" s="314"/>
      <c r="I88" s="318"/>
      <c r="J88" s="319"/>
      <c r="K88" s="319"/>
      <c r="L88" s="319"/>
      <c r="M88" s="319"/>
      <c r="N88" s="320"/>
      <c r="O88" s="309">
        <f t="shared" si="5"/>
      </c>
      <c r="P88" s="309">
        <f t="shared" si="6"/>
      </c>
      <c r="Q88" s="312"/>
      <c r="R88" s="309">
        <f t="shared" si="7"/>
      </c>
      <c r="S88" s="310">
        <f t="shared" si="8"/>
        <v>0</v>
      </c>
      <c r="T88" s="341"/>
      <c r="U88" s="319"/>
      <c r="V88" s="340">
        <f t="shared" si="9"/>
      </c>
    </row>
    <row r="89" spans="1:22" ht="9.75">
      <c r="A89" s="314"/>
      <c r="B89" s="314"/>
      <c r="C89" s="315"/>
      <c r="D89" s="314"/>
      <c r="E89" s="329"/>
      <c r="F89" s="330"/>
      <c r="G89" s="314"/>
      <c r="H89" s="314"/>
      <c r="I89" s="318"/>
      <c r="J89" s="319"/>
      <c r="K89" s="319"/>
      <c r="L89" s="319"/>
      <c r="M89" s="319"/>
      <c r="N89" s="320"/>
      <c r="O89" s="309">
        <f t="shared" si="5"/>
      </c>
      <c r="P89" s="309">
        <f t="shared" si="6"/>
      </c>
      <c r="Q89" s="312"/>
      <c r="R89" s="309">
        <f t="shared" si="7"/>
      </c>
      <c r="S89" s="310">
        <f t="shared" si="8"/>
        <v>0</v>
      </c>
      <c r="T89" s="341"/>
      <c r="U89" s="319"/>
      <c r="V89" s="340">
        <f t="shared" si="9"/>
      </c>
    </row>
    <row r="90" spans="1:22" ht="9.75">
      <c r="A90" s="314"/>
      <c r="B90" s="314"/>
      <c r="C90" s="315"/>
      <c r="D90" s="314"/>
      <c r="E90" s="329"/>
      <c r="F90" s="330"/>
      <c r="G90" s="314"/>
      <c r="H90" s="314"/>
      <c r="I90" s="318"/>
      <c r="J90" s="319"/>
      <c r="K90" s="319"/>
      <c r="L90" s="319"/>
      <c r="M90" s="319"/>
      <c r="N90" s="320"/>
      <c r="O90" s="309">
        <f t="shared" si="5"/>
      </c>
      <c r="P90" s="309">
        <f t="shared" si="6"/>
      </c>
      <c r="Q90" s="312"/>
      <c r="R90" s="309">
        <f t="shared" si="7"/>
      </c>
      <c r="S90" s="310">
        <f t="shared" si="8"/>
        <v>0</v>
      </c>
      <c r="T90" s="341"/>
      <c r="U90" s="319"/>
      <c r="V90" s="340">
        <f t="shared" si="9"/>
      </c>
    </row>
    <row r="91" spans="1:22" ht="9.75">
      <c r="A91" s="314"/>
      <c r="B91" s="314"/>
      <c r="C91" s="315"/>
      <c r="D91" s="314"/>
      <c r="E91" s="329"/>
      <c r="F91" s="330"/>
      <c r="G91" s="314"/>
      <c r="H91" s="314"/>
      <c r="I91" s="318"/>
      <c r="J91" s="319"/>
      <c r="K91" s="319"/>
      <c r="L91" s="319"/>
      <c r="M91" s="319"/>
      <c r="N91" s="320"/>
      <c r="O91" s="309">
        <f t="shared" si="5"/>
      </c>
      <c r="P91" s="309">
        <f t="shared" si="6"/>
      </c>
      <c r="Q91" s="312"/>
      <c r="R91" s="309">
        <f t="shared" si="7"/>
      </c>
      <c r="S91" s="310">
        <f t="shared" si="8"/>
        <v>0</v>
      </c>
      <c r="T91" s="341"/>
      <c r="U91" s="319"/>
      <c r="V91" s="340">
        <f t="shared" si="9"/>
      </c>
    </row>
    <row r="92" spans="1:22" ht="9.75">
      <c r="A92" s="314"/>
      <c r="B92" s="314"/>
      <c r="C92" s="315"/>
      <c r="D92" s="314"/>
      <c r="E92" s="329"/>
      <c r="F92" s="330"/>
      <c r="G92" s="314"/>
      <c r="H92" s="314"/>
      <c r="I92" s="318"/>
      <c r="J92" s="319"/>
      <c r="K92" s="319"/>
      <c r="L92" s="319"/>
      <c r="M92" s="319"/>
      <c r="N92" s="320"/>
      <c r="O92" s="309">
        <f t="shared" si="5"/>
      </c>
      <c r="P92" s="309">
        <f t="shared" si="6"/>
      </c>
      <c r="Q92" s="312"/>
      <c r="R92" s="309">
        <f t="shared" si="7"/>
      </c>
      <c r="S92" s="310">
        <f t="shared" si="8"/>
        <v>0</v>
      </c>
      <c r="T92" s="341"/>
      <c r="U92" s="319"/>
      <c r="V92" s="340">
        <f t="shared" si="9"/>
      </c>
    </row>
    <row r="93" spans="1:22" ht="9.75">
      <c r="A93" s="314"/>
      <c r="B93" s="314"/>
      <c r="C93" s="315"/>
      <c r="D93" s="314"/>
      <c r="E93" s="329"/>
      <c r="F93" s="330"/>
      <c r="G93" s="314"/>
      <c r="H93" s="314"/>
      <c r="I93" s="318"/>
      <c r="J93" s="319"/>
      <c r="K93" s="319"/>
      <c r="L93" s="319"/>
      <c r="M93" s="319"/>
      <c r="N93" s="320"/>
      <c r="O93" s="309">
        <f t="shared" si="5"/>
      </c>
      <c r="P93" s="309">
        <f t="shared" si="6"/>
      </c>
      <c r="Q93" s="312"/>
      <c r="R93" s="309">
        <f t="shared" si="7"/>
      </c>
      <c r="S93" s="310">
        <f t="shared" si="8"/>
        <v>0</v>
      </c>
      <c r="T93" s="341"/>
      <c r="U93" s="319"/>
      <c r="V93" s="340">
        <f t="shared" si="9"/>
      </c>
    </row>
    <row r="94" spans="1:22" ht="9.75">
      <c r="A94" s="314"/>
      <c r="B94" s="314"/>
      <c r="C94" s="315"/>
      <c r="D94" s="314"/>
      <c r="E94" s="329"/>
      <c r="F94" s="330"/>
      <c r="G94" s="314"/>
      <c r="H94" s="314"/>
      <c r="I94" s="318"/>
      <c r="J94" s="319"/>
      <c r="K94" s="319"/>
      <c r="L94" s="319"/>
      <c r="M94" s="319"/>
      <c r="N94" s="320"/>
      <c r="O94" s="309">
        <f t="shared" si="5"/>
      </c>
      <c r="P94" s="309">
        <f t="shared" si="6"/>
      </c>
      <c r="Q94" s="312"/>
      <c r="R94" s="309">
        <f t="shared" si="7"/>
      </c>
      <c r="S94" s="310">
        <f t="shared" si="8"/>
        <v>0</v>
      </c>
      <c r="T94" s="341"/>
      <c r="U94" s="319"/>
      <c r="V94" s="340">
        <f t="shared" si="9"/>
      </c>
    </row>
    <row r="95" spans="1:22" ht="9.75">
      <c r="A95" s="314"/>
      <c r="B95" s="314"/>
      <c r="C95" s="315"/>
      <c r="D95" s="314"/>
      <c r="E95" s="329"/>
      <c r="F95" s="330"/>
      <c r="G95" s="314"/>
      <c r="H95" s="314"/>
      <c r="I95" s="318"/>
      <c r="J95" s="319"/>
      <c r="K95" s="319"/>
      <c r="L95" s="319"/>
      <c r="M95" s="319"/>
      <c r="N95" s="320"/>
      <c r="O95" s="309">
        <f t="shared" si="5"/>
      </c>
      <c r="P95" s="309">
        <f t="shared" si="6"/>
      </c>
      <c r="Q95" s="312"/>
      <c r="R95" s="309">
        <f t="shared" si="7"/>
      </c>
      <c r="S95" s="310">
        <f t="shared" si="8"/>
        <v>0</v>
      </c>
      <c r="T95" s="341"/>
      <c r="U95" s="319"/>
      <c r="V95" s="340">
        <f t="shared" si="9"/>
      </c>
    </row>
    <row r="96" spans="1:22" ht="9.75">
      <c r="A96" s="314"/>
      <c r="B96" s="314"/>
      <c r="C96" s="315"/>
      <c r="D96" s="314"/>
      <c r="E96" s="329"/>
      <c r="F96" s="330"/>
      <c r="G96" s="314"/>
      <c r="H96" s="314"/>
      <c r="I96" s="318"/>
      <c r="J96" s="319"/>
      <c r="K96" s="319"/>
      <c r="L96" s="319"/>
      <c r="M96" s="319"/>
      <c r="N96" s="320"/>
      <c r="O96" s="309">
        <f t="shared" si="5"/>
      </c>
      <c r="P96" s="309">
        <f t="shared" si="6"/>
      </c>
      <c r="Q96" s="312"/>
      <c r="R96" s="309">
        <f t="shared" si="7"/>
      </c>
      <c r="S96" s="310">
        <f t="shared" si="8"/>
        <v>0</v>
      </c>
      <c r="T96" s="341"/>
      <c r="U96" s="319"/>
      <c r="V96" s="340">
        <f t="shared" si="9"/>
      </c>
    </row>
    <row r="97" spans="1:22" ht="9.75">
      <c r="A97" s="314"/>
      <c r="B97" s="314"/>
      <c r="C97" s="315"/>
      <c r="D97" s="314"/>
      <c r="E97" s="329"/>
      <c r="F97" s="330"/>
      <c r="G97" s="314"/>
      <c r="H97" s="314"/>
      <c r="I97" s="332"/>
      <c r="J97" s="319"/>
      <c r="K97" s="319"/>
      <c r="L97" s="319"/>
      <c r="M97" s="319"/>
      <c r="N97" s="320"/>
      <c r="O97" s="309">
        <f t="shared" si="5"/>
      </c>
      <c r="P97" s="309">
        <f t="shared" si="6"/>
      </c>
      <c r="Q97" s="312"/>
      <c r="R97" s="309">
        <f t="shared" si="7"/>
      </c>
      <c r="S97" s="310">
        <f t="shared" si="8"/>
        <v>0</v>
      </c>
      <c r="T97" s="341"/>
      <c r="U97" s="319"/>
      <c r="V97" s="340">
        <f t="shared" si="9"/>
      </c>
    </row>
    <row r="98" spans="8:22" ht="3.75" customHeight="1">
      <c r="H98" s="185"/>
      <c r="T98" s="187"/>
      <c r="U98" s="185"/>
      <c r="V98" s="291">
        <f t="shared" si="9"/>
      </c>
    </row>
    <row r="99" spans="15:22" ht="9.75">
      <c r="O99" s="186">
        <f aca="true" t="shared" si="10" ref="O99:V99">SUM(O7:O98)</f>
        <v>0</v>
      </c>
      <c r="P99" s="186">
        <f t="shared" si="10"/>
        <v>0</v>
      </c>
      <c r="Q99" s="186">
        <f t="shared" si="10"/>
        <v>0</v>
      </c>
      <c r="R99" s="186">
        <f t="shared" si="10"/>
        <v>0</v>
      </c>
      <c r="S99" s="221"/>
      <c r="T99" s="190">
        <f t="shared" si="10"/>
        <v>0</v>
      </c>
      <c r="U99" s="190">
        <f t="shared" si="10"/>
        <v>0</v>
      </c>
      <c r="V99" s="190">
        <f t="shared" si="10"/>
        <v>0</v>
      </c>
    </row>
    <row r="100" spans="16:22" ht="9.75">
      <c r="P100" s="509">
        <f>O99+P99+Q99+R99</f>
        <v>0</v>
      </c>
      <c r="Q100" s="510"/>
      <c r="R100" s="511"/>
      <c r="S100" s="222"/>
      <c r="T100" s="191"/>
      <c r="U100" s="192"/>
      <c r="V100" s="193"/>
    </row>
    <row r="101" spans="20:22" ht="9.75">
      <c r="T101" s="194"/>
      <c r="U101" s="194"/>
      <c r="V101" s="194"/>
    </row>
    <row r="102" spans="20:22" ht="9.75">
      <c r="T102" s="194"/>
      <c r="U102" s="194"/>
      <c r="V102" s="194"/>
    </row>
    <row r="103" spans="16:22" ht="9.75">
      <c r="P103" s="195"/>
      <c r="Q103" s="195"/>
      <c r="R103" s="195"/>
      <c r="S103" s="195"/>
      <c r="T103" s="194"/>
      <c r="U103" s="194"/>
      <c r="V103" s="194"/>
    </row>
    <row r="104" spans="5:22" ht="9.75">
      <c r="E104" s="498" t="s">
        <v>100</v>
      </c>
      <c r="F104" s="498"/>
      <c r="G104" s="498"/>
      <c r="H104" s="498"/>
      <c r="I104" s="498"/>
      <c r="J104" s="302">
        <f>SUMIF(I7:I97,"=A",J7:J97)</f>
        <v>0</v>
      </c>
      <c r="K104" s="302">
        <f>SUMIF(I7:I97,"=A",K7:K97)</f>
        <v>0</v>
      </c>
      <c r="L104" s="302">
        <f>SUMIF(I7:I97,"=A",L7:L97)</f>
        <v>0</v>
      </c>
      <c r="M104" s="302"/>
      <c r="N104" s="302"/>
      <c r="O104" s="302">
        <f>SUMIF(I7:I97,"=A",O7:O97)</f>
        <v>0</v>
      </c>
      <c r="P104" s="302">
        <f>SUMIF(I7:I97,"=A",P7:P97)</f>
        <v>0</v>
      </c>
      <c r="Q104" s="302">
        <f>SUMIF(I7:I97,"=A",Q7:Q97)</f>
        <v>0</v>
      </c>
      <c r="R104" s="302">
        <f>SUMIF(I7:I97,"=A",R7:R97)</f>
        <v>0</v>
      </c>
      <c r="S104" s="223"/>
      <c r="T104" s="194"/>
      <c r="U104" s="194"/>
      <c r="V104" s="194"/>
    </row>
    <row r="105" spans="5:22" ht="9.75">
      <c r="E105" s="498" t="s">
        <v>101</v>
      </c>
      <c r="F105" s="498"/>
      <c r="G105" s="498"/>
      <c r="H105" s="498"/>
      <c r="I105" s="498"/>
      <c r="J105" s="302">
        <f>SUMIF(I7:I97,"N",J7:J97)</f>
        <v>0</v>
      </c>
      <c r="K105" s="302">
        <f>SUMIF(I7:I97,"=N",K7:K97)</f>
        <v>0</v>
      </c>
      <c r="L105" s="302">
        <f>SUMIF(I7:I97,"=N",L7:L97)</f>
        <v>0</v>
      </c>
      <c r="M105" s="302"/>
      <c r="N105" s="302"/>
      <c r="O105" s="302">
        <f>SUMIF(I7:I97,"=N",O7:O97)</f>
        <v>0</v>
      </c>
      <c r="P105" s="302">
        <f>SUMIF(I7:I97,"=N",P7:P97)</f>
        <v>0</v>
      </c>
      <c r="Q105" s="302">
        <f>SUMIF(I7:I97,"=N",Q7:Q97)</f>
        <v>0</v>
      </c>
      <c r="R105" s="302">
        <f>SUMIF(I7:I97,"=N",R7:R97)</f>
        <v>0</v>
      </c>
      <c r="S105" s="223"/>
      <c r="T105" s="194"/>
      <c r="U105" s="194"/>
      <c r="V105" s="194"/>
    </row>
    <row r="106" spans="16:22" ht="9.75">
      <c r="P106" s="195"/>
      <c r="Q106" s="195"/>
      <c r="R106" s="195"/>
      <c r="S106" s="195"/>
      <c r="T106" s="194"/>
      <c r="U106" s="194"/>
      <c r="V106" s="194"/>
    </row>
    <row r="107" spans="11:22" ht="9.75">
      <c r="K107" s="512" t="s">
        <v>102</v>
      </c>
      <c r="L107" s="512"/>
      <c r="M107" s="512"/>
      <c r="N107" s="512"/>
      <c r="O107" s="512"/>
      <c r="P107" s="196">
        <f>(L104+L105)-(O104+O105+P104+P105+Q104+Q105+R104+R105)</f>
        <v>0</v>
      </c>
      <c r="Q107" s="197"/>
      <c r="R107" s="197"/>
      <c r="S107" s="197"/>
      <c r="T107" s="194"/>
      <c r="U107" s="194"/>
      <c r="V107" s="194"/>
    </row>
    <row r="108" spans="16:22" ht="9.75">
      <c r="P108" s="195"/>
      <c r="Q108" s="195"/>
      <c r="R108" s="195"/>
      <c r="S108" s="195"/>
      <c r="T108" s="194"/>
      <c r="U108" s="194"/>
      <c r="V108" s="194"/>
    </row>
    <row r="109" spans="5:22" ht="9.75">
      <c r="E109" s="492" t="s">
        <v>246</v>
      </c>
      <c r="F109" s="492"/>
      <c r="G109" s="492"/>
      <c r="H109" s="492"/>
      <c r="I109" s="492"/>
      <c r="J109" s="492"/>
      <c r="K109" s="492"/>
      <c r="L109" s="302">
        <f>L104-V99</f>
        <v>0</v>
      </c>
      <c r="M109" s="303"/>
      <c r="N109" s="303"/>
      <c r="O109" s="304">
        <f>FLOOR(L109*0.135,1)</f>
        <v>0</v>
      </c>
      <c r="P109" s="305">
        <f>FLOOR(L109*0.765,1)</f>
        <v>0</v>
      </c>
      <c r="Q109" s="305"/>
      <c r="R109" s="305">
        <f>L109-O109-P109</f>
        <v>0</v>
      </c>
      <c r="S109" s="195"/>
      <c r="T109" s="194"/>
      <c r="U109" s="194"/>
      <c r="V109" s="194"/>
    </row>
    <row r="110" spans="5:22" ht="9.75">
      <c r="E110" s="492" t="s">
        <v>247</v>
      </c>
      <c r="F110" s="492"/>
      <c r="G110" s="492"/>
      <c r="H110" s="492"/>
      <c r="I110" s="492"/>
      <c r="J110" s="492"/>
      <c r="K110" s="492"/>
      <c r="L110" s="302">
        <f>SUMIF(N7:N97,"A",L7:L97)-SUMIF(N7:N97,"A",V7:V97)</f>
        <v>0</v>
      </c>
      <c r="M110" s="303"/>
      <c r="N110" s="303"/>
      <c r="O110" s="304">
        <f>FLOOR(L110*0.135,1)</f>
        <v>0</v>
      </c>
      <c r="P110" s="305">
        <f>FLOOR(L110*0.765,1)</f>
        <v>0</v>
      </c>
      <c r="Q110" s="306"/>
      <c r="R110" s="305">
        <f>L110-O110-P110</f>
        <v>0</v>
      </c>
      <c r="S110" s="195"/>
      <c r="T110" s="194"/>
      <c r="U110" s="194"/>
      <c r="V110" s="194"/>
    </row>
    <row r="111" spans="5:22" ht="9.75">
      <c r="E111" s="492" t="s">
        <v>248</v>
      </c>
      <c r="F111" s="492"/>
      <c r="G111" s="492"/>
      <c r="H111" s="492"/>
      <c r="I111" s="492"/>
      <c r="J111" s="492"/>
      <c r="K111" s="492"/>
      <c r="L111" s="302">
        <f>SUMIF(N7:N97,"N",L7:L97)-SUMIF(N7:N97,"N",V7:V97)</f>
        <v>0</v>
      </c>
      <c r="M111" s="303"/>
      <c r="N111" s="303"/>
      <c r="O111" s="304">
        <f>FLOOR(L111*0.135,1)</f>
        <v>0</v>
      </c>
      <c r="P111" s="305">
        <f>FLOOR(L111*0.765,1)</f>
        <v>0</v>
      </c>
      <c r="Q111" s="306"/>
      <c r="R111" s="305">
        <f>L111-O111-P111</f>
        <v>0</v>
      </c>
      <c r="S111" s="195"/>
      <c r="T111" s="194"/>
      <c r="U111" s="194"/>
      <c r="V111" s="194"/>
    </row>
    <row r="112" spans="16:22" ht="9.75">
      <c r="P112" s="195"/>
      <c r="Q112" s="195"/>
      <c r="R112" s="195"/>
      <c r="S112" s="195"/>
      <c r="T112" s="194"/>
      <c r="U112" s="194"/>
      <c r="V112" s="194"/>
    </row>
    <row r="113" spans="16:22" ht="9.75">
      <c r="P113" s="195"/>
      <c r="Q113" s="195"/>
      <c r="R113" s="195"/>
      <c r="S113" s="195"/>
      <c r="T113" s="194"/>
      <c r="U113" s="194"/>
      <c r="V113" s="194"/>
    </row>
    <row r="114" spans="16:22" ht="9.75">
      <c r="P114" s="195"/>
      <c r="Q114" s="195"/>
      <c r="R114" s="195"/>
      <c r="S114" s="195"/>
      <c r="T114" s="194"/>
      <c r="U114" s="194"/>
      <c r="V114" s="194"/>
    </row>
    <row r="115" spans="16:22" ht="9.75">
      <c r="P115" s="195"/>
      <c r="Q115" s="195"/>
      <c r="R115" s="195"/>
      <c r="S115" s="195"/>
      <c r="T115" s="194"/>
      <c r="U115" s="194"/>
      <c r="V115" s="194"/>
    </row>
    <row r="116" spans="16:22" ht="9.75">
      <c r="P116" s="195"/>
      <c r="Q116" s="195"/>
      <c r="R116" s="195"/>
      <c r="S116" s="195"/>
      <c r="T116" s="194"/>
      <c r="U116" s="194"/>
      <c r="V116" s="194"/>
    </row>
    <row r="117" spans="16:22" ht="9.75">
      <c r="P117" s="195"/>
      <c r="Q117" s="195"/>
      <c r="R117" s="195"/>
      <c r="S117" s="195"/>
      <c r="T117" s="194"/>
      <c r="U117" s="194"/>
      <c r="V117" s="194"/>
    </row>
    <row r="118" spans="3:22" ht="9.75">
      <c r="C118" s="499" t="s">
        <v>103</v>
      </c>
      <c r="D118" s="499" t="s">
        <v>104</v>
      </c>
      <c r="E118" s="502" t="s">
        <v>105</v>
      </c>
      <c r="F118" s="502"/>
      <c r="G118" s="499"/>
      <c r="H118" s="499"/>
      <c r="I118" s="499" t="s">
        <v>106</v>
      </c>
      <c r="J118" s="499"/>
      <c r="K118" s="502"/>
      <c r="L118" s="499"/>
      <c r="M118" s="333"/>
      <c r="N118" s="333"/>
      <c r="O118" s="502" t="s">
        <v>105</v>
      </c>
      <c r="P118" s="499"/>
      <c r="Q118" s="506" t="s">
        <v>107</v>
      </c>
      <c r="R118" s="506"/>
      <c r="S118" s="334"/>
      <c r="T118" s="506"/>
      <c r="U118" s="506"/>
      <c r="V118" s="506"/>
    </row>
    <row r="119" spans="3:22" ht="9.75"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335"/>
      <c r="N119" s="335"/>
      <c r="O119" s="500"/>
      <c r="P119" s="500"/>
      <c r="Q119" s="507"/>
      <c r="R119" s="507"/>
      <c r="S119" s="336"/>
      <c r="T119" s="507"/>
      <c r="U119" s="507"/>
      <c r="V119" s="507"/>
    </row>
    <row r="120" spans="3:22" ht="9.75">
      <c r="C120" s="501"/>
      <c r="D120" s="501"/>
      <c r="E120" s="501"/>
      <c r="F120" s="501"/>
      <c r="G120" s="501"/>
      <c r="H120" s="501"/>
      <c r="I120" s="501"/>
      <c r="J120" s="501"/>
      <c r="K120" s="501"/>
      <c r="L120" s="501"/>
      <c r="M120" s="337"/>
      <c r="N120" s="337"/>
      <c r="O120" s="501"/>
      <c r="P120" s="501"/>
      <c r="Q120" s="508"/>
      <c r="R120" s="508"/>
      <c r="S120" s="338"/>
      <c r="T120" s="508"/>
      <c r="U120" s="508"/>
      <c r="V120" s="508"/>
    </row>
  </sheetData>
  <sheetProtection selectLockedCells="1"/>
  <protectedRanges>
    <protectedRange sqref="E118:F118 O118 R118:S118" name="Oblast3"/>
    <protectedRange sqref="C7:C97 D7:F46 D48:F97 G7:G97 H7:H98 I7:S97" name="Oblast2"/>
  </protectedRanges>
  <mergeCells count="40">
    <mergeCell ref="O5:S5"/>
    <mergeCell ref="N5:N6"/>
    <mergeCell ref="M5:M6"/>
    <mergeCell ref="K5:K6"/>
    <mergeCell ref="L5:L6"/>
    <mergeCell ref="K118:L120"/>
    <mergeCell ref="P100:R100"/>
    <mergeCell ref="O118:P120"/>
    <mergeCell ref="Q118:Q120"/>
    <mergeCell ref="R118:R120"/>
    <mergeCell ref="E111:K111"/>
    <mergeCell ref="K107:O107"/>
    <mergeCell ref="T5:V5"/>
    <mergeCell ref="T118:T120"/>
    <mergeCell ref="U118:U120"/>
    <mergeCell ref="V118:V120"/>
    <mergeCell ref="C118:C120"/>
    <mergeCell ref="D118:D120"/>
    <mergeCell ref="E118:H120"/>
    <mergeCell ref="I118:J120"/>
    <mergeCell ref="F3:H3"/>
    <mergeCell ref="I2:K2"/>
    <mergeCell ref="I3:K3"/>
    <mergeCell ref="E110:K110"/>
    <mergeCell ref="F5:F6"/>
    <mergeCell ref="I5:I6"/>
    <mergeCell ref="J5:J6"/>
    <mergeCell ref="E109:K109"/>
    <mergeCell ref="E104:I104"/>
    <mergeCell ref="E105:I105"/>
    <mergeCell ref="L1:T1"/>
    <mergeCell ref="L3:T3"/>
    <mergeCell ref="A5:A6"/>
    <mergeCell ref="B5:B6"/>
    <mergeCell ref="F1:H1"/>
    <mergeCell ref="I1:K1"/>
    <mergeCell ref="A1:E1"/>
    <mergeCell ref="A2:E2"/>
    <mergeCell ref="A3:E3"/>
    <mergeCell ref="F2:H2"/>
  </mergeCells>
  <conditionalFormatting sqref="N8">
    <cfRule type="cellIs" priority="1" dxfId="0" operator="equal" stopIfTrue="1">
      <formula>$I$8</formula>
    </cfRule>
  </conditionalFormatting>
  <dataValidations count="4">
    <dataValidation type="list" allowBlank="1" showInputMessage="1" showErrorMessage="1" sqref="G7:G25 G27:G97">
      <formula1>NEINV</formula1>
    </dataValidation>
    <dataValidation type="list" allowBlank="1" showInputMessage="1" showErrorMessage="1" sqref="H7:H98">
      <formula1>INV</formula1>
    </dataValidation>
    <dataValidation type="list" allowBlank="1" showInputMessage="1" showErrorMessage="1" sqref="I7:I97 N8:N97">
      <formula1>způsobilost</formula1>
    </dataValidation>
    <dataValidation errorStyle="information" type="list" allowBlank="1" showInputMessage="1" showErrorMessage="1" error="V případě nezpůsobilého výdaju nezadávat." sqref="N7">
      <formula1>způsobilost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0">
      <selection activeCell="C36" sqref="C36"/>
    </sheetView>
  </sheetViews>
  <sheetFormatPr defaultColWidth="9.140625" defaultRowHeight="12.75"/>
  <cols>
    <col min="1" max="1" width="6.8515625" style="199" customWidth="1"/>
    <col min="2" max="2" width="45.7109375" style="199" customWidth="1"/>
    <col min="3" max="3" width="16.7109375" style="199" customWidth="1"/>
    <col min="4" max="4" width="16.140625" style="199" customWidth="1"/>
    <col min="5" max="5" width="7.421875" style="199" customWidth="1"/>
    <col min="6" max="6" width="46.7109375" style="199" customWidth="1"/>
    <col min="7" max="8" width="16.28125" style="199" customWidth="1"/>
    <col min="9" max="16384" width="9.140625" style="199" customWidth="1"/>
  </cols>
  <sheetData>
    <row r="1" spans="1:8" ht="12.75">
      <c r="A1" s="198" t="str">
        <f>'Přehled smluv a faktur'!C5</f>
        <v>Monitorovací zpráva - přehled faktur - projekt:</v>
      </c>
      <c r="B1" s="198"/>
      <c r="C1" s="516">
        <f>'Přehled smluv a faktur'!E5</f>
        <v>0</v>
      </c>
      <c r="D1" s="517"/>
      <c r="E1" s="198" t="str">
        <f>'Přehled smluv a faktur'!C5</f>
        <v>Monitorovací zpráva - přehled faktur - projekt:</v>
      </c>
      <c r="F1" s="198"/>
      <c r="G1" s="516">
        <f>'Přehled smluv a faktur'!E5</f>
        <v>0</v>
      </c>
      <c r="H1" s="517"/>
    </row>
    <row r="2" spans="1:8" ht="12">
      <c r="A2" s="200" t="s">
        <v>108</v>
      </c>
      <c r="B2" s="201" t="s">
        <v>109</v>
      </c>
      <c r="C2" s="202" t="s">
        <v>110</v>
      </c>
      <c r="D2" s="202" t="s">
        <v>111</v>
      </c>
      <c r="E2" s="200" t="s">
        <v>85</v>
      </c>
      <c r="F2" s="201" t="s">
        <v>112</v>
      </c>
      <c r="G2" s="202" t="s">
        <v>110</v>
      </c>
      <c r="H2" s="202" t="s">
        <v>111</v>
      </c>
    </row>
    <row r="3" spans="1:8" ht="12">
      <c r="A3" s="292">
        <v>5010</v>
      </c>
      <c r="B3" s="200" t="s">
        <v>216</v>
      </c>
      <c r="C3" s="204">
        <f>SUMIF('Přehled smluv a faktur'!G7:G97,"=5010",'Přehled smluv a faktur'!J7:J97)</f>
        <v>0</v>
      </c>
      <c r="D3" s="204">
        <f>SUMIF('Přehled smluv a faktur'!G7:G97,"=5010",'Přehled smluv a faktur'!L7:L97)</f>
        <v>0</v>
      </c>
      <c r="E3" s="292">
        <v>6010</v>
      </c>
      <c r="F3" s="200" t="s">
        <v>113</v>
      </c>
      <c r="G3" s="204">
        <f>SUMIF('Přehled smluv a faktur'!H7:H97,"=6010",'Přehled smluv a faktur'!J7:J97)</f>
        <v>0</v>
      </c>
      <c r="H3" s="204">
        <f>SUMIF('Přehled smluv a faktur'!H7:H97,"=6010",'Přehled smluv a faktur'!L7:L97)</f>
        <v>0</v>
      </c>
    </row>
    <row r="4" spans="1:8" ht="12">
      <c r="A4" s="292">
        <v>5011</v>
      </c>
      <c r="B4" s="200" t="s">
        <v>217</v>
      </c>
      <c r="C4" s="204">
        <f>SUMIF('Přehled smluv a faktur'!G7:G97,"=5011",'Přehled smluv a faktur'!J7:J97)</f>
        <v>0</v>
      </c>
      <c r="D4" s="204">
        <f>SUMIF('Přehled smluv a faktur'!G7:G97,"=5011",'Přehled smluv a faktur'!L7:L97)</f>
        <v>0</v>
      </c>
      <c r="E4" s="292">
        <v>6011</v>
      </c>
      <c r="F4" s="200" t="s">
        <v>114</v>
      </c>
      <c r="G4" s="204">
        <f>SUMIF('Přehled smluv a faktur'!H7:H97,"=6011",'Přehled smluv a faktur'!J7:J97)</f>
        <v>0</v>
      </c>
      <c r="H4" s="204">
        <f>SUMIF('Přehled smluv a faktur'!H7:H97,"=6011",'Přehled smluv a faktur'!L7:L97)</f>
        <v>0</v>
      </c>
    </row>
    <row r="5" spans="1:8" ht="12">
      <c r="A5" s="292">
        <v>5012</v>
      </c>
      <c r="B5" s="200" t="s">
        <v>115</v>
      </c>
      <c r="C5" s="204">
        <f>SUMIF('Přehled smluv a faktur'!G7:G97,"=5012",'Přehled smluv a faktur'!J7:J97)</f>
        <v>0</v>
      </c>
      <c r="D5" s="204">
        <f>SUMIF('Přehled smluv a faktur'!G7:G97,"=5012",'Přehled smluv a faktur'!L7:L97)</f>
        <v>0</v>
      </c>
      <c r="E5" s="292">
        <v>6012</v>
      </c>
      <c r="F5" s="200" t="s">
        <v>115</v>
      </c>
      <c r="G5" s="204">
        <f>SUMIF('Přehled smluv a faktur'!H7:H97,"=6012",'Přehled smluv a faktur'!J7:J97)</f>
        <v>0</v>
      </c>
      <c r="H5" s="204">
        <f>SUMIF('Přehled smluv a faktur'!H7:H97,"=6012",'Přehled smluv a faktur'!L7:L97)</f>
        <v>0</v>
      </c>
    </row>
    <row r="6" spans="1:8" ht="12">
      <c r="A6" s="292">
        <v>5014</v>
      </c>
      <c r="B6" s="200" t="s">
        <v>218</v>
      </c>
      <c r="C6" s="204">
        <f>SUMIF('Přehled smluv a faktur'!G7:G97,"=5014",'Přehled smluv a faktur'!J7:J97)</f>
        <v>0</v>
      </c>
      <c r="D6" s="204">
        <f>SUMIF('Přehled smluv a faktur'!G7:G97,"=5014",'Přehled smluv a faktur'!L7:L97)</f>
        <v>0</v>
      </c>
      <c r="E6" s="292">
        <v>6013</v>
      </c>
      <c r="F6" s="200" t="s">
        <v>236</v>
      </c>
      <c r="G6" s="204">
        <f>SUMIF('Přehled smluv a faktur'!H7:H97,"=6013",'Přehled smluv a faktur'!J7:J97)</f>
        <v>0</v>
      </c>
      <c r="H6" s="204">
        <f>SUMIF('Přehled smluv a faktur'!H7:H97,"=6013",'Přehled smluv a faktur'!L7:L97)</f>
        <v>0</v>
      </c>
    </row>
    <row r="7" spans="1:8" ht="12">
      <c r="A7" s="292">
        <v>5019</v>
      </c>
      <c r="B7" s="200" t="s">
        <v>219</v>
      </c>
      <c r="C7" s="204">
        <f>SUMIF('Přehled smluv a faktur'!G7:G97,"=5019",'Přehled smluv a faktur'!J7:J97)</f>
        <v>0</v>
      </c>
      <c r="D7" s="204">
        <f>SUMIF('Přehled smluv a faktur'!G7:G97,"=5019",'Přehled smluv a faktur'!L7:L97)</f>
        <v>0</v>
      </c>
      <c r="E7" s="199">
        <v>6014</v>
      </c>
      <c r="F7" s="199" t="s">
        <v>218</v>
      </c>
      <c r="G7" s="204">
        <f>SUMIF('Přehled smluv a faktur'!H7:H97,"=6014",'Přehled smluv a faktur'!J7:J97)</f>
        <v>0</v>
      </c>
      <c r="H7" s="204">
        <f>SUMIF('Přehled smluv a faktur'!H7:H97,"=6014",'Přehled smluv a faktur'!L7:L97)</f>
        <v>0</v>
      </c>
    </row>
    <row r="8" spans="1:8" ht="12">
      <c r="A8" s="293" t="s">
        <v>220</v>
      </c>
      <c r="B8" s="206" t="s">
        <v>221</v>
      </c>
      <c r="C8" s="207">
        <f>SUM(C3:C7)</f>
        <v>0</v>
      </c>
      <c r="D8" s="207">
        <f>SUM(D3:D7)</f>
        <v>0</v>
      </c>
      <c r="E8" s="292">
        <v>6019</v>
      </c>
      <c r="F8" s="200" t="s">
        <v>219</v>
      </c>
      <c r="G8" s="204">
        <f>SUMIF('Přehled smluv a faktur'!H7:H97,"=6019",'Přehled smluv a faktur'!J7:J97)</f>
        <v>0</v>
      </c>
      <c r="H8" s="204">
        <f>SUMIF('Přehled smluv a faktur'!H7:H97,"=6019",'Přehled smluv a faktur'!L7:L97)</f>
        <v>0</v>
      </c>
    </row>
    <row r="9" spans="1:8" ht="12">
      <c r="A9" s="292">
        <v>5030</v>
      </c>
      <c r="B9" s="200" t="s">
        <v>222</v>
      </c>
      <c r="C9" s="204">
        <f>SUMIF('Přehled smluv a faktur'!G7:G97,"=5030",'Přehled smluv a faktur'!J7:J97)</f>
        <v>0</v>
      </c>
      <c r="D9" s="204">
        <f>SUMIF('Přehled smluv a faktur'!G7:G97,"=5030",'Přehled smluv a faktur'!L7:L97)</f>
        <v>0</v>
      </c>
      <c r="E9" s="205" t="s">
        <v>237</v>
      </c>
      <c r="F9" s="206" t="s">
        <v>116</v>
      </c>
      <c r="G9" s="208">
        <f>SUM(G3:G8)</f>
        <v>0</v>
      </c>
      <c r="H9" s="208">
        <f>SUM(H3:H8)</f>
        <v>0</v>
      </c>
    </row>
    <row r="10" spans="1:8" ht="12">
      <c r="A10" s="292">
        <v>5031</v>
      </c>
      <c r="B10" s="200" t="s">
        <v>117</v>
      </c>
      <c r="C10" s="204">
        <f>SUMIF('Přehled smluv a faktur'!G7:G97,"=5031",'Přehled smluv a faktur'!J7:J97)</f>
        <v>0</v>
      </c>
      <c r="D10" s="204">
        <f>SUMIF('Přehled smluv a faktur'!G7:G97,"=5031",'Přehled smluv a faktur'!L7:L97)</f>
        <v>0</v>
      </c>
      <c r="E10" s="292">
        <v>6090</v>
      </c>
      <c r="F10" s="200" t="s">
        <v>119</v>
      </c>
      <c r="G10" s="204">
        <f>SUMIF('Přehled smluv a faktur'!H7:H97,"=6090",'Přehled smluv a faktur'!J7:J97)</f>
        <v>0</v>
      </c>
      <c r="H10" s="204">
        <f>SUMIF('Přehled smluv a faktur'!H7:H97,"=6090",'Přehled smluv a faktur'!L7:L97)</f>
        <v>0</v>
      </c>
    </row>
    <row r="11" spans="1:8" ht="12">
      <c r="A11" s="292">
        <v>5032</v>
      </c>
      <c r="B11" s="200" t="s">
        <v>118</v>
      </c>
      <c r="C11" s="204">
        <f>SUMIF('Přehled smluv a faktur'!G7:G97,"=5032",'Přehled smluv a faktur'!J7:J97)</f>
        <v>0</v>
      </c>
      <c r="D11" s="204">
        <f>SUMIF('Přehled smluv a faktur'!G7:G97,"=5032",'Přehled smluv a faktur'!L7:L97)</f>
        <v>0</v>
      </c>
      <c r="E11" s="292">
        <v>6091</v>
      </c>
      <c r="F11" s="200" t="s">
        <v>121</v>
      </c>
      <c r="G11" s="204">
        <f>SUMIF('Přehled smluv a faktur'!H7:H97,"=6091",'Přehled smluv a faktur'!J7:J97)</f>
        <v>0</v>
      </c>
      <c r="H11" s="204">
        <f>SUMIF('Přehled smluv a faktur'!H7:H97,"=6091",'Přehled smluv a faktur'!L7:L97)</f>
        <v>0</v>
      </c>
    </row>
    <row r="12" spans="1:8" ht="12">
      <c r="A12" s="292">
        <v>5039</v>
      </c>
      <c r="B12" s="200" t="s">
        <v>120</v>
      </c>
      <c r="C12" s="204">
        <f>SUMIF('Přehled smluv a faktur'!G7:G97,"=5039",'Přehled smluv a faktur'!J7:J97)</f>
        <v>0</v>
      </c>
      <c r="D12" s="204">
        <f>SUMIF('Přehled smluv a faktur'!G7:G97,"=5039",'Přehled smluv a faktur'!L7:L97)</f>
        <v>0</v>
      </c>
      <c r="E12" s="292">
        <v>6092</v>
      </c>
      <c r="F12" s="200" t="s">
        <v>123</v>
      </c>
      <c r="G12" s="204">
        <f>SUMIF('Přehled smluv a faktur'!H7:H97,"=6092",'Přehled smluv a faktur'!J7:J97)</f>
        <v>0</v>
      </c>
      <c r="H12" s="204">
        <f>SUMIF('Přehled smluv a faktur'!H7:H97,"=6092",'Přehled smluv a faktur'!L7:L97)</f>
        <v>0</v>
      </c>
    </row>
    <row r="13" spans="1:8" ht="12">
      <c r="A13" s="293" t="s">
        <v>223</v>
      </c>
      <c r="B13" s="206" t="s">
        <v>122</v>
      </c>
      <c r="C13" s="207">
        <f>SUM(C9:C12)</f>
        <v>0</v>
      </c>
      <c r="D13" s="207">
        <f>SUM(D9:D12)</f>
        <v>0</v>
      </c>
      <c r="E13" s="292">
        <v>6093</v>
      </c>
      <c r="F13" s="200" t="s">
        <v>125</v>
      </c>
      <c r="G13" s="204">
        <f>SUMIF('Přehled smluv a faktur'!H7:H97,"=6093",'Přehled smluv a faktur'!J7:J97)</f>
        <v>0</v>
      </c>
      <c r="H13" s="204">
        <f>SUMIF('Přehled smluv a faktur'!H7:H97,"=6093",'Přehled smluv a faktur'!L7:L97)</f>
        <v>0</v>
      </c>
    </row>
    <row r="14" spans="1:8" ht="12">
      <c r="A14" s="292">
        <v>5050</v>
      </c>
      <c r="B14" s="200" t="s">
        <v>124</v>
      </c>
      <c r="C14" s="204">
        <f>SUMIF('Přehled smluv a faktur'!G7:G97,"=5050",'Přehled smluv a faktur'!J7:J97)</f>
        <v>0</v>
      </c>
      <c r="D14" s="204">
        <f>SUMIF('Přehled smluv a faktur'!G7:G97,"=5050",'Přehled smluv a faktur'!L7:L97)</f>
        <v>0</v>
      </c>
      <c r="E14" s="292">
        <v>6094</v>
      </c>
      <c r="F14" s="200" t="s">
        <v>127</v>
      </c>
      <c r="G14" s="204">
        <f>SUMIF('Přehled smluv a faktur'!H7:H97,"=6094",'Přehled smluv a faktur'!J7:J97)</f>
        <v>0</v>
      </c>
      <c r="H14" s="204">
        <f>SUMIF('Přehled smluv a faktur'!H7:H97,"=6094",'Přehled smluv a faktur'!L7:L97)</f>
        <v>0</v>
      </c>
    </row>
    <row r="15" spans="1:8" ht="12">
      <c r="A15" s="292">
        <v>5051</v>
      </c>
      <c r="B15" s="200" t="s">
        <v>126</v>
      </c>
      <c r="C15" s="204">
        <f>SUMIF('Přehled smluv a faktur'!G7:G97,"=5051",'Přehled smluv a faktur'!J7:J97)</f>
        <v>0</v>
      </c>
      <c r="D15" s="204">
        <f>SUMIF('Přehled smluv a faktur'!G7:G97,"=5051",'Přehled smluv a faktur'!L7:L97)</f>
        <v>0</v>
      </c>
      <c r="E15" s="292">
        <v>6095</v>
      </c>
      <c r="F15" s="200" t="s">
        <v>129</v>
      </c>
      <c r="G15" s="204">
        <f>SUMIF('Přehled smluv a faktur'!H7:H97,"=6095",'Přehled smluv a faktur'!J7:J97)</f>
        <v>0</v>
      </c>
      <c r="H15" s="204">
        <f>SUMIF('Přehled smluv a faktur'!H7:H97,"=6095",'Přehled smluv a faktur'!L7:L97)</f>
        <v>0</v>
      </c>
    </row>
    <row r="16" spans="1:8" ht="12">
      <c r="A16" s="292">
        <v>5052</v>
      </c>
      <c r="B16" s="200" t="s">
        <v>128</v>
      </c>
      <c r="C16" s="204">
        <f>SUMIF('Přehled smluv a faktur'!G7:G97,"=5052",'Přehled smluv a faktur'!J7:J97)</f>
        <v>0</v>
      </c>
      <c r="D16" s="204">
        <f>SUMIF('Přehled smluv a faktur'!G7:G97,"=5052",'Přehled smluv a faktur'!L7:L97)</f>
        <v>0</v>
      </c>
      <c r="E16" s="292">
        <v>6096</v>
      </c>
      <c r="F16" s="200" t="s">
        <v>131</v>
      </c>
      <c r="G16" s="204">
        <f>SUMIF('Přehled smluv a faktur'!H7:H97,"=6096",'Přehled smluv a faktur'!J7:J97)</f>
        <v>0</v>
      </c>
      <c r="H16" s="204">
        <f>SUMIF('Přehled smluv a faktur'!H7:H97,"=6096",'Přehled smluv a faktur'!L7:L97)</f>
        <v>0</v>
      </c>
    </row>
    <row r="17" spans="1:8" ht="12">
      <c r="A17" s="292">
        <v>5053</v>
      </c>
      <c r="B17" s="200" t="s">
        <v>130</v>
      </c>
      <c r="C17" s="204">
        <f>SUMIF('Přehled smluv a faktur'!G7:G97,"=5053",'Přehled smluv a faktur'!J7:J97)</f>
        <v>0</v>
      </c>
      <c r="D17" s="204">
        <f>SUMIF('Přehled smluv a faktur'!G7:G97,"=5053",'Přehled smluv a faktur'!L7:L97)</f>
        <v>0</v>
      </c>
      <c r="E17" s="292">
        <v>6097</v>
      </c>
      <c r="F17" s="200" t="s">
        <v>133</v>
      </c>
      <c r="G17" s="204">
        <f>SUMIF('Přehled smluv a faktur'!H7:H97,"=6097",'Přehled smluv a faktur'!J7:J97)</f>
        <v>0</v>
      </c>
      <c r="H17" s="204">
        <f>SUMIF('Přehled smluv a faktur'!H7:H97,"=6097",'Přehled smluv a faktur'!L7:L97)</f>
        <v>0</v>
      </c>
    </row>
    <row r="18" spans="1:8" ht="12">
      <c r="A18" s="292">
        <v>5054</v>
      </c>
      <c r="B18" s="200" t="s">
        <v>132</v>
      </c>
      <c r="C18" s="204">
        <f>SUMIF('Přehled smluv a faktur'!G7:G97,"=5054",'Přehled smluv a faktur'!J7:J97)</f>
        <v>0</v>
      </c>
      <c r="D18" s="204">
        <f>SUMIF('Přehled smluv a faktur'!G7:G97,"=5054",'Přehled smluv a faktur'!L7:L97)</f>
        <v>0</v>
      </c>
      <c r="E18" s="292">
        <v>6099</v>
      </c>
      <c r="F18" s="200" t="s">
        <v>135</v>
      </c>
      <c r="G18" s="204">
        <f>SUMIF('Přehled smluv a faktur'!H7:H97,"=6099",'Přehled smluv a faktur'!J7:J97)</f>
        <v>0</v>
      </c>
      <c r="H18" s="204">
        <f>SUMIF('Přehled smluv a faktur'!H7:H97,"=6099",'Přehled smluv a faktur'!L7:L97)</f>
        <v>0</v>
      </c>
    </row>
    <row r="19" spans="1:8" ht="12">
      <c r="A19" s="292">
        <v>5055</v>
      </c>
      <c r="B19" s="200" t="s">
        <v>134</v>
      </c>
      <c r="C19" s="204">
        <f>SUMIF('Přehled smluv a faktur'!G7:G97,"=5055",'Přehled smluv a faktur'!J7:J97)</f>
        <v>0</v>
      </c>
      <c r="D19" s="204">
        <f>SUMIF('Přehled smluv a faktur'!G7:G97,"=5055",'Přehled smluv a faktur'!L7:L97)</f>
        <v>0</v>
      </c>
      <c r="E19" s="205" t="s">
        <v>238</v>
      </c>
      <c r="F19" s="206" t="s">
        <v>137</v>
      </c>
      <c r="G19" s="208">
        <f>SUM(G10:G18)</f>
        <v>0</v>
      </c>
      <c r="H19" s="208">
        <f>SUM(H10:H18)</f>
        <v>0</v>
      </c>
    </row>
    <row r="20" spans="1:8" ht="12">
      <c r="A20" s="292">
        <v>5056</v>
      </c>
      <c r="B20" s="200" t="s">
        <v>136</v>
      </c>
      <c r="C20" s="204">
        <f>SUMIF('Přehled smluv a faktur'!G7:G97,"=5056",'Přehled smluv a faktur'!J7:J97)</f>
        <v>0</v>
      </c>
      <c r="D20" s="204">
        <f>SUMIF('Přehled smluv a faktur'!G7:G97,"=5056",'Přehled smluv a faktur'!L7:L97)</f>
        <v>0</v>
      </c>
      <c r="E20" s="292">
        <v>6110</v>
      </c>
      <c r="F20" s="200" t="s">
        <v>139</v>
      </c>
      <c r="G20" s="204">
        <f>SUMIF('Přehled smluv a faktur'!H7:H97,"=6110",'Přehled smluv a faktur'!J7:J97)</f>
        <v>0</v>
      </c>
      <c r="H20" s="204">
        <f>SUMIF('Přehled smluv a faktur'!H7:H97,"=6110",'Přehled smluv a faktur'!L7:L97)</f>
        <v>0</v>
      </c>
    </row>
    <row r="21" spans="1:8" ht="12">
      <c r="A21" s="292">
        <v>5057</v>
      </c>
      <c r="B21" s="200" t="s">
        <v>138</v>
      </c>
      <c r="C21" s="204">
        <f>SUMIF('Přehled smluv a faktur'!G7:G97,"=5057",'Přehled smluv a faktur'!J7:J97)</f>
        <v>0</v>
      </c>
      <c r="D21" s="204">
        <f>SUMIF('Přehled smluv a faktur'!G7:G97,"=5057",'Přehled smluv a faktur'!L7:L97)</f>
        <v>0</v>
      </c>
      <c r="E21" s="292">
        <v>6111</v>
      </c>
      <c r="F21" s="200" t="s">
        <v>141</v>
      </c>
      <c r="G21" s="204">
        <f>SUMIF('Přehled smluv a faktur'!H7:H97,"=6111",'Přehled smluv a faktur'!J7:J97)</f>
        <v>0</v>
      </c>
      <c r="H21" s="204">
        <f>SUMIF('Přehled smluv a faktur'!H7:H97,"=6111",'Přehled smluv a faktur'!L7:L97)</f>
        <v>0</v>
      </c>
    </row>
    <row r="22" spans="1:8" ht="12">
      <c r="A22" s="292">
        <v>5058</v>
      </c>
      <c r="B22" s="200" t="s">
        <v>140</v>
      </c>
      <c r="C22" s="204">
        <f>SUMIF('Přehled smluv a faktur'!G7:G97,"=5058",'Přehled smluv a faktur'!J7:J97)</f>
        <v>0</v>
      </c>
      <c r="D22" s="204">
        <f>SUMIF('Přehled smluv a faktur'!G7:G97,"=5058",'Přehled smluv a faktur'!L7:L97)</f>
        <v>0</v>
      </c>
      <c r="E22" s="292">
        <v>6112</v>
      </c>
      <c r="F22" s="200" t="s">
        <v>143</v>
      </c>
      <c r="G22" s="204">
        <f>SUMIF('Přehled smluv a faktur'!H7:H97,"=6112",'Přehled smluv a faktur'!J7:J97)</f>
        <v>0</v>
      </c>
      <c r="H22" s="204">
        <f>SUMIF('Přehled smluv a faktur'!H7:H97,"=6112",'Přehled smluv a faktur'!L7:L97)</f>
        <v>0</v>
      </c>
    </row>
    <row r="23" spans="1:8" ht="12">
      <c r="A23" s="205" t="s">
        <v>224</v>
      </c>
      <c r="B23" s="206" t="s">
        <v>142</v>
      </c>
      <c r="C23" s="207">
        <f>SUM(C14:C22)</f>
        <v>0</v>
      </c>
      <c r="D23" s="207">
        <f>SUM(D14:D22)</f>
        <v>0</v>
      </c>
      <c r="E23" s="292">
        <v>6113</v>
      </c>
      <c r="F23" s="200" t="s">
        <v>145</v>
      </c>
      <c r="G23" s="204">
        <f>SUMIF('Přehled smluv a faktur'!H7:H97,"=6113",'Přehled smluv a faktur'!J7:J97)</f>
        <v>0</v>
      </c>
      <c r="H23" s="204">
        <f>SUMIF('Přehled smluv a faktur'!H7:H97,"=6113",'Přehled smluv a faktur'!L7:L97)</f>
        <v>0</v>
      </c>
    </row>
    <row r="24" spans="1:8" ht="12">
      <c r="A24" s="292">
        <v>5070</v>
      </c>
      <c r="B24" s="200" t="s">
        <v>144</v>
      </c>
      <c r="C24" s="204">
        <f>SUMIF('Přehled smluv a faktur'!G7:G97,"=5070",'Přehled smluv a faktur'!J7:J97)</f>
        <v>0</v>
      </c>
      <c r="D24" s="204">
        <f>SUMIF('Přehled smluv a faktur'!G7:G97,"=5070",'Přehled smluv a faktur'!L7:L97)</f>
        <v>0</v>
      </c>
      <c r="E24" s="292">
        <v>6114</v>
      </c>
      <c r="F24" s="200" t="s">
        <v>147</v>
      </c>
      <c r="G24" s="204">
        <f>SUMIF('Přehled smluv a faktur'!H7:H97,"=6114",'Přehled smluv a faktur'!J7:J97)</f>
        <v>0</v>
      </c>
      <c r="H24" s="204">
        <f>SUMIF('Přehled smluv a faktur'!H7:H97,"=6114",'Přehled smluv a faktur'!L7:L97)</f>
        <v>0</v>
      </c>
    </row>
    <row r="25" spans="1:8" ht="12">
      <c r="A25" s="292">
        <v>5071</v>
      </c>
      <c r="B25" s="200" t="s">
        <v>146</v>
      </c>
      <c r="C25" s="204">
        <f>SUMIF('Přehled smluv a faktur'!G7:G97,"=5071",'Přehled smluv a faktur'!J7:J97)</f>
        <v>0</v>
      </c>
      <c r="D25" s="204">
        <f>SUMIF('Přehled smluv a faktur'!G7:G97,"=5071",'Přehled smluv a faktur'!L7:L97)</f>
        <v>0</v>
      </c>
      <c r="E25" s="292">
        <v>6115</v>
      </c>
      <c r="F25" s="200" t="s">
        <v>239</v>
      </c>
      <c r="G25" s="204">
        <f>SUMIF('Přehled smluv a faktur'!H7:H97,"=6115",'Přehled smluv a faktur'!J7:J97)</f>
        <v>0</v>
      </c>
      <c r="H25" s="204">
        <f>SUMIF('Přehled smluv a faktur'!H7:H97,"=6115",'Přehled smluv a faktur'!L7:L97)</f>
        <v>0</v>
      </c>
    </row>
    <row r="26" spans="1:8" ht="12">
      <c r="A26" s="292">
        <v>5072</v>
      </c>
      <c r="B26" s="200" t="s">
        <v>148</v>
      </c>
      <c r="C26" s="204">
        <f>SUMIF('Přehled smluv a faktur'!G7:G97,"=5072",'Přehled smluv a faktur'!J7:J97)</f>
        <v>0</v>
      </c>
      <c r="D26" s="204">
        <f>SUMIF('Přehled smluv a faktur'!G7:G97,"=5072",'Přehled smluv a faktur'!L7:L97)</f>
        <v>0</v>
      </c>
      <c r="E26" s="292">
        <v>6116</v>
      </c>
      <c r="F26" s="200" t="s">
        <v>150</v>
      </c>
      <c r="G26" s="204">
        <f>SUMIF('Přehled smluv a faktur'!H7:H97,"=6116",'Přehled smluv a faktur'!J7:J97)</f>
        <v>0</v>
      </c>
      <c r="H26" s="204">
        <f>SUMIF('Přehled smluv a faktur'!H7:H97,"=6116",'Přehled smluv a faktur'!L7:L97)</f>
        <v>0</v>
      </c>
    </row>
    <row r="27" spans="1:8" ht="12">
      <c r="A27" s="292">
        <v>5073</v>
      </c>
      <c r="B27" s="200" t="s">
        <v>149</v>
      </c>
      <c r="C27" s="204">
        <f>SUMIF('Přehled smluv a faktur'!G7:G97,"=5073",'Přehled smluv a faktur'!J7:J97)</f>
        <v>0</v>
      </c>
      <c r="D27" s="204">
        <f>SUMIF('Přehled smluv a faktur'!G7:G97,"=5073",'Přehled smluv a faktur'!L7:L97)</f>
        <v>0</v>
      </c>
      <c r="E27" s="292">
        <v>6117</v>
      </c>
      <c r="F27" s="200" t="s">
        <v>152</v>
      </c>
      <c r="G27" s="204">
        <f>SUMIF('Přehled smluv a faktur'!H7:H97,"=6117",'Přehled smluv a faktur'!J7:J97)</f>
        <v>0</v>
      </c>
      <c r="H27" s="204">
        <f>SUMIF('Přehled smluv a faktur'!H7:H97,"=6117",'Přehled smluv a faktur'!L7:L97)</f>
        <v>0</v>
      </c>
    </row>
    <row r="28" spans="1:8" ht="12">
      <c r="A28" s="292">
        <v>5074</v>
      </c>
      <c r="B28" s="200" t="s">
        <v>151</v>
      </c>
      <c r="C28" s="204">
        <f>SUMIF('Přehled smluv a faktur'!G7:G97,"=5074",'Přehled smluv a faktur'!J7:J97)</f>
        <v>0</v>
      </c>
      <c r="D28" s="204">
        <f>SUMIF('Přehled smluv a faktur'!G7:G97,"=5074",'Přehled smluv a faktur'!L7:L97)</f>
        <v>0</v>
      </c>
      <c r="E28" s="292">
        <v>6119</v>
      </c>
      <c r="F28" s="200" t="s">
        <v>154</v>
      </c>
      <c r="G28" s="204">
        <f>SUMIF('Přehled smluv a faktur'!H7:H97,"=6119",'Přehled smluv a faktur'!J7:J97)</f>
        <v>0</v>
      </c>
      <c r="H28" s="204">
        <f>SUMIF('Přehled smluv a faktur'!H7:H97,"=6119",'Přehled smluv a faktur'!L7:L97)</f>
        <v>0</v>
      </c>
    </row>
    <row r="29" spans="1:8" ht="12">
      <c r="A29" s="292">
        <v>5075</v>
      </c>
      <c r="B29" s="200" t="s">
        <v>153</v>
      </c>
      <c r="C29" s="204">
        <f>SUMIF('Přehled smluv a faktur'!G7:G97,"=5075",'Přehled smluv a faktur'!J7:J97)</f>
        <v>0</v>
      </c>
      <c r="D29" s="204">
        <f>SUMIF('Přehled smluv a faktur'!G7:G97,"=5075",'Přehled smluv a faktur'!L7:L97)</f>
        <v>0</v>
      </c>
      <c r="E29" s="205" t="s">
        <v>240</v>
      </c>
      <c r="F29" s="206" t="s">
        <v>156</v>
      </c>
      <c r="G29" s="208">
        <f>SUM(G20:G28)</f>
        <v>0</v>
      </c>
      <c r="H29" s="208">
        <f>SUM(H20:H28)</f>
        <v>0</v>
      </c>
    </row>
    <row r="30" spans="1:8" ht="12">
      <c r="A30" s="292">
        <v>5076</v>
      </c>
      <c r="B30" s="200" t="s">
        <v>155</v>
      </c>
      <c r="C30" s="204">
        <f>SUMIF('Přehled smluv a faktur'!G7:G97,"=5076",'Přehled smluv a faktur'!J7:J97)</f>
        <v>0</v>
      </c>
      <c r="D30" s="204">
        <f>SUMIF('Přehled smluv a faktur'!G7:G97,"=5076",'Přehled smluv a faktur'!L7:L97)</f>
        <v>0</v>
      </c>
      <c r="E30" s="292">
        <v>6130</v>
      </c>
      <c r="F30" s="200" t="s">
        <v>158</v>
      </c>
      <c r="G30" s="204">
        <f>SUMIF('Přehled smluv a faktur'!H7:H97,"=6130",'Přehled smluv a faktur'!J7:J97)</f>
        <v>0</v>
      </c>
      <c r="H30" s="204">
        <f>SUMIF('Přehled smluv a faktur'!G7:G97,"=6130",'Přehled smluv a faktur'!O7:IG97)</f>
        <v>0</v>
      </c>
    </row>
    <row r="31" spans="1:8" ht="12">
      <c r="A31" s="292">
        <v>5077</v>
      </c>
      <c r="B31" s="200" t="s">
        <v>157</v>
      </c>
      <c r="C31" s="204">
        <f>SUMIF('Přehled smluv a faktur'!G7:G97,"=5077",'Přehled smluv a faktur'!J7:J97)</f>
        <v>0</v>
      </c>
      <c r="D31" s="204">
        <f>SUMIF('Přehled smluv a faktur'!G7:G97,"=5077",'Přehled smluv a faktur'!L7:L97)</f>
        <v>0</v>
      </c>
      <c r="E31" s="292">
        <v>6131</v>
      </c>
      <c r="F31" s="200" t="s">
        <v>160</v>
      </c>
      <c r="G31" s="204">
        <f>SUMIF('Přehled smluv a faktur'!H7:H97,"=6131",'Přehled smluv a faktur'!J7:J97)</f>
        <v>0</v>
      </c>
      <c r="H31" s="204">
        <f>SUMIF('Přehled smluv a faktur'!H7:H97,"=6131",'Přehled smluv a faktur'!L7:L97)</f>
        <v>0</v>
      </c>
    </row>
    <row r="32" spans="1:8" ht="12">
      <c r="A32" s="292">
        <v>5078</v>
      </c>
      <c r="B32" s="200" t="s">
        <v>159</v>
      </c>
      <c r="C32" s="204">
        <f>SUMIF('Přehled smluv a faktur'!G7:G97,"=5078",'Přehled smluv a faktur'!J7:J97)</f>
        <v>0</v>
      </c>
      <c r="D32" s="204">
        <f>SUMIF('Přehled smluv a faktur'!G7:G97,"=5078",'Přehled smluv a faktur'!L7:L97)</f>
        <v>0</v>
      </c>
      <c r="E32" s="292">
        <v>6132</v>
      </c>
      <c r="F32" s="200" t="s">
        <v>162</v>
      </c>
      <c r="G32" s="204">
        <f>SUMIF('Přehled smluv a faktur'!H7:H97,"=6132",'Přehled smluv a faktur'!J7:J97)</f>
        <v>0</v>
      </c>
      <c r="H32" s="204">
        <f>SUMIF('Přehled smluv a faktur'!H7:H97,"=6132",'Přehled smluv a faktur'!L7:L97)</f>
        <v>0</v>
      </c>
    </row>
    <row r="33" spans="1:8" ht="12">
      <c r="A33" s="205" t="s">
        <v>225</v>
      </c>
      <c r="B33" s="206" t="s">
        <v>161</v>
      </c>
      <c r="C33" s="207">
        <f>SUM(C24:C32)</f>
        <v>0</v>
      </c>
      <c r="D33" s="207">
        <f>SUM(D24:D32)</f>
        <v>0</v>
      </c>
      <c r="E33" s="292">
        <v>6133</v>
      </c>
      <c r="F33" s="200" t="s">
        <v>163</v>
      </c>
      <c r="G33" s="204">
        <f>SUMIF('Přehled smluv a faktur'!H7:H97,"=6133",'Přehled smluv a faktur'!J7:J97)</f>
        <v>0</v>
      </c>
      <c r="H33" s="204">
        <f>SUMIF('Přehled smluv a faktur'!H7:H97,"=6133",'Přehled smluv a faktur'!L7:L97)</f>
        <v>0</v>
      </c>
    </row>
    <row r="34" spans="1:8" ht="12">
      <c r="A34" s="294">
        <v>5090</v>
      </c>
      <c r="B34" s="295" t="s">
        <v>226</v>
      </c>
      <c r="C34" s="296">
        <f>SUMIF('Přehled smluv a faktur'!G7:G97,"=5090",'Přehled smluv a faktur'!J7:J97)</f>
        <v>0</v>
      </c>
      <c r="D34" s="204">
        <f>SUMIF('Přehled smluv a faktur'!G7:G97,"=5090",'Přehled smluv a faktur'!L7:L97)</f>
        <v>0</v>
      </c>
      <c r="E34" s="292">
        <v>6139</v>
      </c>
      <c r="F34" s="200" t="s">
        <v>164</v>
      </c>
      <c r="G34" s="204">
        <f>SUMIF('Přehled smluv a faktur'!H7:H97,"=6139",'Přehled smluv a faktur'!J7:J97)</f>
        <v>0</v>
      </c>
      <c r="H34" s="204">
        <f>SUMIF('Přehled smluv a faktur'!H7:H97,"=6139",'Přehled smluv a faktur'!L7:L97)</f>
        <v>0</v>
      </c>
    </row>
    <row r="35" spans="1:8" ht="12">
      <c r="A35" s="292">
        <v>5091</v>
      </c>
      <c r="B35" s="200" t="s">
        <v>121</v>
      </c>
      <c r="C35" s="204">
        <f>SUMIF('Přehled smluv a faktur'!G7:G97,"=5091",'Přehled smluv a faktur'!J7:J97)</f>
        <v>0</v>
      </c>
      <c r="D35" s="204">
        <f>SUMIF('Přehled smluv a faktur'!G7:G97,"=5091",'Přehled smluv a faktur'!L7:L97)</f>
        <v>0</v>
      </c>
      <c r="E35" s="209" t="s">
        <v>241</v>
      </c>
      <c r="F35" s="206" t="s">
        <v>165</v>
      </c>
      <c r="G35" s="208">
        <f>SUM(G30:G34)</f>
        <v>0</v>
      </c>
      <c r="H35" s="208">
        <f>SUM(H30:H34)</f>
        <v>0</v>
      </c>
    </row>
    <row r="36" spans="1:8" ht="12">
      <c r="A36" s="292">
        <v>5093</v>
      </c>
      <c r="B36" s="200" t="s">
        <v>125</v>
      </c>
      <c r="C36" s="204">
        <f>SUMIF('Přehled smluv a faktur'!G7:G97,"=5093",'Přehled smluv a faktur'!J7:J97)</f>
        <v>0</v>
      </c>
      <c r="D36" s="204">
        <f>SUMIF('Přehled smluv a faktur'!G7:G97,"=5093",'Přehled smluv a faktur'!L7:L97)</f>
        <v>0</v>
      </c>
      <c r="E36" s="292">
        <v>6150</v>
      </c>
      <c r="F36" s="200" t="s">
        <v>166</v>
      </c>
      <c r="G36" s="204">
        <f>SUMIF('Přehled smluv a faktur'!H7:H97,"=6150",'Přehled smluv a faktur'!J7:J97)</f>
        <v>0</v>
      </c>
      <c r="H36" s="204">
        <f>SUMIF('Přehled smluv a faktur'!H7:H97,"=6150",'Přehled smluv a faktur'!L7:L97)</f>
        <v>0</v>
      </c>
    </row>
    <row r="37" spans="1:8" ht="12">
      <c r="A37" s="292">
        <v>5095</v>
      </c>
      <c r="B37" s="200" t="s">
        <v>129</v>
      </c>
      <c r="C37" s="204">
        <f>SUMIF('Přehled smluv a faktur'!G7:G97,"=5095",'Přehled smluv a faktur'!J7:J97)</f>
        <v>0</v>
      </c>
      <c r="D37" s="204">
        <f>SUMIF('Přehled smluv a faktur'!G7:G97,"=5095",'Přehled smluv a faktur'!L7:L97)</f>
        <v>0</v>
      </c>
      <c r="E37" s="292">
        <v>6151</v>
      </c>
      <c r="F37" s="200" t="s">
        <v>168</v>
      </c>
      <c r="G37" s="204">
        <f>SUMIF('Přehled smluv a faktur'!H7:H97,"=6151",'Přehled smluv a faktur'!J7:J97)</f>
        <v>0</v>
      </c>
      <c r="H37" s="204">
        <f>SUMIF('Přehled smluv a faktur'!H7:H97,"=6151",'Přehled smluv a faktur'!L7:L97)</f>
        <v>0</v>
      </c>
    </row>
    <row r="38" spans="1:8" ht="12">
      <c r="A38" s="292">
        <v>5099</v>
      </c>
      <c r="B38" s="200" t="s">
        <v>135</v>
      </c>
      <c r="C38" s="204">
        <f>SUMIF('Přehled smluv a faktur'!G7:G97,"=5099",'Přehled smluv a faktur'!J7:J97)</f>
        <v>0</v>
      </c>
      <c r="D38" s="204">
        <f>SUMIF('Přehled smluv a faktur'!G7:G97,"=5099",'Přehled smluv a faktur'!L7:L97)</f>
        <v>0</v>
      </c>
      <c r="E38" s="292">
        <v>6152</v>
      </c>
      <c r="F38" s="200" t="s">
        <v>169</v>
      </c>
      <c r="G38" s="204">
        <f>SUMIF('Přehled smluv a faktur'!H7:H97,"=6152",'Přehled smluv a faktur'!J7:J97)</f>
        <v>0</v>
      </c>
      <c r="H38" s="204">
        <f>SUMIF('Přehled smluv a faktur'!H7:H97,"=6152",'Přehled smluv a faktur'!L7:L97)</f>
        <v>0</v>
      </c>
    </row>
    <row r="39" spans="1:8" ht="12">
      <c r="A39" s="205" t="s">
        <v>227</v>
      </c>
      <c r="B39" s="206" t="s">
        <v>167</v>
      </c>
      <c r="C39" s="207">
        <f>SUM(C34:C38)</f>
        <v>0</v>
      </c>
      <c r="D39" s="207">
        <f>SUM(D34:D38)</f>
        <v>0</v>
      </c>
      <c r="E39" s="292">
        <v>6153</v>
      </c>
      <c r="F39" s="200" t="s">
        <v>133</v>
      </c>
      <c r="G39" s="204">
        <f>SUMIF('Přehled smluv a faktur'!H7:H97,"=6153",'Přehled smluv a faktur'!J7:J97)</f>
        <v>0</v>
      </c>
      <c r="H39" s="204">
        <f>SUMIF('Přehled smluv a faktur'!H7:H97,"=6153",'Přehled smluv a faktur'!L7:L97)</f>
        <v>0</v>
      </c>
    </row>
    <row r="40" spans="1:8" ht="12">
      <c r="A40" s="292">
        <v>5110</v>
      </c>
      <c r="B40" s="200" t="s">
        <v>139</v>
      </c>
      <c r="C40" s="204">
        <f>SUMIF('Přehled smluv a faktur'!G7:G97,"=5110",'Přehled smluv a faktur'!J7:J97)</f>
        <v>0</v>
      </c>
      <c r="D40" s="204">
        <f>SUMIF('Přehled smluv a faktur'!G7:G97,"=5110",'Přehled smluv a faktur'!L7:L97)</f>
        <v>0</v>
      </c>
      <c r="E40" s="292">
        <v>6154</v>
      </c>
      <c r="F40" s="200" t="s">
        <v>170</v>
      </c>
      <c r="G40" s="204">
        <f>SUMIF('Přehled smluv a faktur'!H7:H97,"=6154",'Přehled smluv a faktur'!J7:J97)</f>
        <v>0</v>
      </c>
      <c r="H40" s="204">
        <f>SUMIF('Přehled smluv a faktur'!H7:H97,"=6154",'Přehled smluv a faktur'!L7:L97)</f>
        <v>0</v>
      </c>
    </row>
    <row r="41" spans="1:8" ht="12">
      <c r="A41" s="292">
        <v>5111</v>
      </c>
      <c r="B41" s="200" t="s">
        <v>141</v>
      </c>
      <c r="C41" s="204">
        <f>SUMIF('Přehled smluv a faktur'!G7:G97,"=5111",'Přehled smluv a faktur'!J7:J97)</f>
        <v>0</v>
      </c>
      <c r="D41" s="204">
        <f>SUMIF('Přehled smluv a faktur'!G7:G97,"=5111",'Přehled smluv a faktur'!L7:L97)</f>
        <v>0</v>
      </c>
      <c r="E41" s="292">
        <v>6155</v>
      </c>
      <c r="F41" s="200" t="s">
        <v>171</v>
      </c>
      <c r="G41" s="204">
        <f>SUMIF('Přehled smluv a faktur'!H7:H97,"=6155",'Přehled smluv a faktur'!J7:J97)</f>
        <v>0</v>
      </c>
      <c r="H41" s="204">
        <f>SUMIF('Přehled smluv a faktur'!H7:H97,"=6155",'Přehled smluv a faktur'!L7:L97)</f>
        <v>0</v>
      </c>
    </row>
    <row r="42" spans="1:8" ht="12">
      <c r="A42" s="292">
        <v>5112</v>
      </c>
      <c r="B42" s="200" t="s">
        <v>143</v>
      </c>
      <c r="C42" s="204">
        <f>SUMIF('Přehled smluv a faktur'!G7:G97,"=5112",'Přehled smluv a faktur'!J7:J97)</f>
        <v>0</v>
      </c>
      <c r="D42" s="204">
        <f>SUMIF('Přehled smluv a faktur'!G7:G97,"=5112",'Přehled smluv a faktur'!L7:L97)</f>
        <v>0</v>
      </c>
      <c r="E42" s="292">
        <v>6156</v>
      </c>
      <c r="F42" s="200" t="s">
        <v>172</v>
      </c>
      <c r="G42" s="204">
        <f>SUMIF('Přehled smluv a faktur'!H7:H97,"=6156",'Přehled smluv a faktur'!J7:J97)</f>
        <v>0</v>
      </c>
      <c r="H42" s="204">
        <f>SUMIF('Přehled smluv a faktur'!H7:H97,"=6156",'Přehled smluv a faktur'!L7:L97)</f>
        <v>0</v>
      </c>
    </row>
    <row r="43" spans="1:8" ht="12">
      <c r="A43" s="292">
        <v>5113</v>
      </c>
      <c r="B43" s="200" t="s">
        <v>145</v>
      </c>
      <c r="C43" s="204">
        <f>SUMIF('Přehled smluv a faktur'!G7:G97,"=5113",'Přehled smluv a faktur'!J7:J97)</f>
        <v>0</v>
      </c>
      <c r="D43" s="204">
        <f>SUMIF('Přehled smluv a faktur'!G7:G97,"=5113",'Přehled smluv a faktur'!L7:L97)</f>
        <v>0</v>
      </c>
      <c r="E43" s="292">
        <v>6157</v>
      </c>
      <c r="F43" s="200" t="s">
        <v>173</v>
      </c>
      <c r="G43" s="204">
        <f>SUMIF('Přehled smluv a faktur'!H7:H97,"=6157",'Přehled smluv a faktur'!J7:J97)</f>
        <v>0</v>
      </c>
      <c r="H43" s="204">
        <f>SUMIF('Přehled smluv a faktur'!H7:H97,"=6157",'Přehled smluv a faktur'!L7:L97)</f>
        <v>0</v>
      </c>
    </row>
    <row r="44" spans="1:8" ht="12">
      <c r="A44" s="292">
        <v>5114</v>
      </c>
      <c r="B44" s="200" t="s">
        <v>147</v>
      </c>
      <c r="C44" s="204">
        <f>SUMIF('Přehled smluv a faktur'!G7:G97,"=5114",'Přehled smluv a faktur'!J7:J97)</f>
        <v>0</v>
      </c>
      <c r="D44" s="204">
        <f>SUMIF('Přehled smluv a faktur'!G7:G97,"=5114",'Přehled smluv a faktur'!L7:L97)</f>
        <v>0</v>
      </c>
      <c r="E44" s="292">
        <v>6159</v>
      </c>
      <c r="F44" s="200" t="s">
        <v>174</v>
      </c>
      <c r="G44" s="204">
        <f>SUMIF('Přehled smluv a faktur'!H7:H97,"=6159",'Přehled smluv a faktur'!J7:J97)</f>
        <v>0</v>
      </c>
      <c r="H44" s="204">
        <f>SUMIF('Přehled smluv a faktur'!H7:H97,"=6159",'Přehled smluv a faktur'!L7:L97)</f>
        <v>0</v>
      </c>
    </row>
    <row r="45" spans="1:8" ht="12">
      <c r="A45" s="292">
        <v>5115</v>
      </c>
      <c r="B45" s="200" t="s">
        <v>228</v>
      </c>
      <c r="C45" s="204">
        <f>SUMIF('Přehled smluv a faktur'!G7:G97,"=5115",'Přehled smluv a faktur'!J7:J97)</f>
        <v>0</v>
      </c>
      <c r="D45" s="204">
        <f>SUMIF('Přehled smluv a faktur'!G7:G97,"=5115",'Přehled smluv a faktur'!L7:L97)</f>
        <v>0</v>
      </c>
      <c r="E45" s="206" t="s">
        <v>242</v>
      </c>
      <c r="F45" s="206" t="s">
        <v>233</v>
      </c>
      <c r="G45" s="208">
        <f>SUM(G36:G44)</f>
        <v>0</v>
      </c>
      <c r="H45" s="208">
        <f>SUM(H36:H44)</f>
        <v>0</v>
      </c>
    </row>
    <row r="46" spans="1:8" ht="12">
      <c r="A46" s="292">
        <v>5116</v>
      </c>
      <c r="B46" s="200" t="s">
        <v>150</v>
      </c>
      <c r="C46" s="204">
        <f>SUMIF('Přehled smluv a faktur'!G7:G97,"=5116",'Přehled smluv a faktur'!J7:J97)</f>
        <v>0</v>
      </c>
      <c r="D46" s="204">
        <f>SUMIF('Přehled smluv a faktur'!G7:G97,"=5116",'Přehled smluv a faktur'!L7:L97)</f>
        <v>0</v>
      </c>
      <c r="E46" s="292">
        <v>6170</v>
      </c>
      <c r="F46" s="200" t="s">
        <v>175</v>
      </c>
      <c r="G46" s="204">
        <f>SUMIF('Přehled smluv a faktur'!H7:H97,"=6170",'Přehled smluv a faktur'!J7:J97)</f>
        <v>0</v>
      </c>
      <c r="H46" s="204">
        <f>SUMIF('Přehled smluv a faktur'!H7:H97,"=6170",'Přehled smluv a faktur'!L7:L97)</f>
        <v>0</v>
      </c>
    </row>
    <row r="47" spans="1:8" ht="12">
      <c r="A47" s="292">
        <v>5117</v>
      </c>
      <c r="B47" s="200" t="s">
        <v>152</v>
      </c>
      <c r="C47" s="204">
        <f>SUMIF('Přehled smluv a faktur'!G7:G97,"=5117",'Přehled smluv a faktur'!J7:J97)</f>
        <v>0</v>
      </c>
      <c r="D47" s="204">
        <f>SUMIF('Přehled smluv a faktur'!G7:G97,"=5117",'Přehled smluv a faktur'!L7:L97)</f>
        <v>0</v>
      </c>
      <c r="E47" s="292">
        <v>6171</v>
      </c>
      <c r="F47" s="200" t="s">
        <v>176</v>
      </c>
      <c r="G47" s="204">
        <f>SUMIF('Přehled smluv a faktur'!H7:H97,"=6171",'Přehled smluv a faktur'!J7:J97)</f>
        <v>0</v>
      </c>
      <c r="H47" s="204">
        <f>SUMIF('Přehled smluv a faktur'!H7:H97,"=6171",'Přehled smluv a faktur'!L7:L97)</f>
        <v>0</v>
      </c>
    </row>
    <row r="48" spans="1:8" ht="12">
      <c r="A48" s="292">
        <v>5119</v>
      </c>
      <c r="B48" s="200" t="s">
        <v>154</v>
      </c>
      <c r="C48" s="204">
        <f>SUMIF('Přehled smluv a faktur'!G7:G97,"=5119",'Přehled smluv a faktur'!J7:J97)</f>
        <v>0</v>
      </c>
      <c r="D48" s="204">
        <f>SUMIF('Přehled smluv a faktur'!G7:G97,"=5119",'Přehled smluv a faktur'!L7:L97)</f>
        <v>0</v>
      </c>
      <c r="E48" s="292">
        <v>6172</v>
      </c>
      <c r="F48" s="200" t="s">
        <v>177</v>
      </c>
      <c r="G48" s="204">
        <f>SUMIF('Přehled smluv a faktur'!H7:H97,"=6172",'Přehled smluv a faktur'!J7:J97)</f>
        <v>0</v>
      </c>
      <c r="H48" s="204">
        <f>SUMIF('Přehled smluv a faktur'!H7:H97,"=6172",'Přehled smluv a faktur'!L7:L97)</f>
        <v>0</v>
      </c>
    </row>
    <row r="49" spans="1:8" ht="12">
      <c r="A49" s="205" t="s">
        <v>229</v>
      </c>
      <c r="B49" s="206" t="s">
        <v>156</v>
      </c>
      <c r="C49" s="207">
        <f>SUM(C40:C48)</f>
        <v>0</v>
      </c>
      <c r="D49" s="207">
        <f>SUM(D40:D48)</f>
        <v>0</v>
      </c>
      <c r="E49" s="292">
        <v>6179</v>
      </c>
      <c r="F49" s="200" t="s">
        <v>178</v>
      </c>
      <c r="G49" s="204">
        <f>SUMIF('Přehled smluv a faktur'!H7:H97,"=6179",'Přehled smluv a faktur'!J7:J97)</f>
        <v>0</v>
      </c>
      <c r="H49" s="204">
        <f>SUMIF('Přehled smluv a faktur'!H7:H97,"=6179",'Přehled smluv a faktur'!L7:L97)</f>
        <v>0</v>
      </c>
    </row>
    <row r="50" spans="1:8" ht="12">
      <c r="A50" s="292">
        <v>5130</v>
      </c>
      <c r="B50" s="200" t="s">
        <v>158</v>
      </c>
      <c r="C50" s="204">
        <f>SUMIF('Přehled smluv a faktur'!G7:G97,"=5130",'Přehled smluv a faktur'!J7:J97)</f>
        <v>0</v>
      </c>
      <c r="D50" s="204">
        <f>SUMIF('Přehled smluv a faktur'!G7:G97,"=5130",'Přehled smluv a faktur'!L7:L97)</f>
        <v>0</v>
      </c>
      <c r="E50" s="206" t="s">
        <v>243</v>
      </c>
      <c r="F50" s="206" t="s">
        <v>179</v>
      </c>
      <c r="G50" s="208">
        <f>SUM(G46:G49)</f>
        <v>0</v>
      </c>
      <c r="H50" s="208">
        <f>SUM(H46:H49)</f>
        <v>0</v>
      </c>
    </row>
    <row r="51" spans="1:8" ht="12">
      <c r="A51" s="292">
        <v>5131</v>
      </c>
      <c r="B51" s="200" t="s">
        <v>160</v>
      </c>
      <c r="C51" s="204">
        <f>SUMIF('Přehled smluv a faktur'!G7:G97,"=5131",'Přehled smluv a faktur'!J7:J97)</f>
        <v>0</v>
      </c>
      <c r="D51" s="204">
        <f>SUMIF('Přehled smluv a faktur'!G7:G97,"=5131",'Přehled smluv a faktur'!L7:L97)</f>
        <v>0</v>
      </c>
      <c r="E51" s="206" t="s">
        <v>244</v>
      </c>
      <c r="F51" s="201" t="s">
        <v>181</v>
      </c>
      <c r="G51" s="208">
        <f>G50+G45+G35+G29+G19+G9</f>
        <v>0</v>
      </c>
      <c r="H51" s="208">
        <f>H50+H45+H35+H29+H19+H9</f>
        <v>0</v>
      </c>
    </row>
    <row r="52" spans="1:4" ht="12">
      <c r="A52" s="292">
        <v>5132</v>
      </c>
      <c r="B52" s="200" t="s">
        <v>162</v>
      </c>
      <c r="C52" s="204">
        <f>SUMIF('Přehled smluv a faktur'!G7:G97,"=5132",'Přehled smluv a faktur'!J7:J97)</f>
        <v>0</v>
      </c>
      <c r="D52" s="204">
        <f>SUMIF('Přehled smluv a faktur'!G7:G97,"=5132",'Přehled smluv a faktur'!L7:L97)</f>
        <v>0</v>
      </c>
    </row>
    <row r="53" spans="1:8" ht="12">
      <c r="A53" s="292">
        <v>5133</v>
      </c>
      <c r="B53" s="200" t="s">
        <v>230</v>
      </c>
      <c r="C53" s="204">
        <f>SUMIF('Přehled smluv a faktur'!G7:G97,"=5133",'Přehled smluv a faktur'!J7:J97)</f>
        <v>0</v>
      </c>
      <c r="D53" s="204">
        <f>SUMIF('Přehled smluv a faktur'!G7:G97,"=5133",'Přehled smluv a faktur'!L7:L97)</f>
        <v>0</v>
      </c>
      <c r="E53" s="203"/>
      <c r="F53" s="200"/>
      <c r="G53" s="204"/>
      <c r="H53" s="204"/>
    </row>
    <row r="54" spans="1:8" ht="12">
      <c r="A54" s="292">
        <v>5139</v>
      </c>
      <c r="B54" s="200" t="s">
        <v>164</v>
      </c>
      <c r="C54" s="204">
        <f>SUMIF('Přehled smluv a faktur'!G7:G97,"=5139",'Přehled smluv a faktur'!J7:J97)</f>
        <v>0</v>
      </c>
      <c r="D54" s="204">
        <f>SUMIF('Přehled smluv a faktur'!G7:G97,"=5139",'Přehled smluv a faktur'!L7:L97)</f>
        <v>0</v>
      </c>
      <c r="F54" s="212" t="s">
        <v>109</v>
      </c>
      <c r="G54" s="213">
        <f>C67</f>
        <v>0</v>
      </c>
      <c r="H54" s="214">
        <f>D67</f>
        <v>0</v>
      </c>
    </row>
    <row r="55" spans="1:8" ht="12">
      <c r="A55" s="205" t="s">
        <v>231</v>
      </c>
      <c r="B55" s="206" t="s">
        <v>180</v>
      </c>
      <c r="C55" s="207">
        <f>SUM(C50:C54)</f>
        <v>0</v>
      </c>
      <c r="D55" s="207">
        <f>SUM(D50:D54)</f>
        <v>0</v>
      </c>
      <c r="F55" s="215" t="s">
        <v>112</v>
      </c>
      <c r="G55" s="208">
        <f>G51</f>
        <v>0</v>
      </c>
      <c r="H55" s="216">
        <f>H51</f>
        <v>0</v>
      </c>
    </row>
    <row r="56" spans="1:8" ht="12">
      <c r="A56" s="292">
        <v>5154</v>
      </c>
      <c r="B56" s="200" t="s">
        <v>170</v>
      </c>
      <c r="C56" s="204">
        <f>SUMIF('Přehled smluv a faktur'!G7:G97,"=5154",'Přehled smluv a faktur'!J7:J97)</f>
        <v>0</v>
      </c>
      <c r="D56" s="204">
        <f>SUMIF('Přehled smluv a faktur'!G7:G97,"=5154",'Přehled smluv a faktur'!L7:L97)</f>
        <v>0</v>
      </c>
      <c r="E56" s="200"/>
      <c r="F56" s="217" t="s">
        <v>182</v>
      </c>
      <c r="G56" s="218">
        <f>SUM(G54:G55)</f>
        <v>0</v>
      </c>
      <c r="H56" s="219">
        <f>SUM(H54:H55)</f>
        <v>0</v>
      </c>
    </row>
    <row r="57" spans="1:8" ht="12">
      <c r="A57" s="292">
        <v>5155</v>
      </c>
      <c r="B57" s="200" t="s">
        <v>171</v>
      </c>
      <c r="C57" s="204">
        <f>SUMIF('Přehled smluv a faktur'!G7:G97,"=5155",'Přehled smluv a faktur'!J7:J97)</f>
        <v>0</v>
      </c>
      <c r="D57" s="204">
        <f>SUMIF('Přehled smluv a faktur'!G7:G97,"=5155",'Přehled smluv a faktur'!L7:L97)</f>
        <v>0</v>
      </c>
      <c r="E57" s="200"/>
      <c r="F57" s="210"/>
      <c r="G57" s="210"/>
      <c r="H57" s="210"/>
    </row>
    <row r="58" spans="1:8" ht="12">
      <c r="A58" s="292">
        <v>5156</v>
      </c>
      <c r="B58" s="200" t="s">
        <v>172</v>
      </c>
      <c r="C58" s="204">
        <f>SUMIF('Přehled smluv a faktur'!G7:G97,"=5156",'Přehled smluv a faktur'!J7:J97)</f>
        <v>0</v>
      </c>
      <c r="D58" s="204">
        <f>SUMIF('Přehled smluv a faktur'!G7:G97,"=5156",'Přehled smluv a faktur'!L7:L97)</f>
        <v>0</v>
      </c>
      <c r="E58" s="211"/>
      <c r="F58" s="297"/>
      <c r="G58" s="298"/>
      <c r="H58" s="298"/>
    </row>
    <row r="59" spans="1:8" ht="12">
      <c r="A59" s="292">
        <v>5157</v>
      </c>
      <c r="B59" s="200" t="s">
        <v>173</v>
      </c>
      <c r="C59" s="204">
        <f>SUMIF('Přehled smluv a faktur'!G7:G97,"=5157",'Přehled smluv a faktur'!J7:J97)</f>
        <v>0</v>
      </c>
      <c r="D59" s="204">
        <f>SUMIF('Přehled smluv a faktur'!G7:G97,"=5157",'Přehled smluv a faktur'!L7:L97)</f>
        <v>0</v>
      </c>
      <c r="E59" s="211"/>
      <c r="F59" s="297"/>
      <c r="G59" s="298"/>
      <c r="H59" s="298"/>
    </row>
    <row r="60" spans="1:8" ht="12">
      <c r="A60" s="292">
        <v>5159</v>
      </c>
      <c r="B60" s="200" t="s">
        <v>174</v>
      </c>
      <c r="C60" s="204">
        <f>SUMIF('Přehled smluv a faktur'!G7:G97,"=5159",'Přehled smluv a faktur'!J7:J97)</f>
        <v>0</v>
      </c>
      <c r="D60" s="204">
        <f>SUMIF('Přehled smluv a faktur'!G7:G97,"=5159",'Přehled smluv a faktur'!L7:L97)</f>
        <v>0</v>
      </c>
      <c r="E60" s="211"/>
      <c r="F60" s="297"/>
      <c r="G60" s="298"/>
      <c r="H60" s="298"/>
    </row>
    <row r="61" spans="1:8" ht="12">
      <c r="A61" s="205" t="s">
        <v>232</v>
      </c>
      <c r="B61" s="206" t="s">
        <v>233</v>
      </c>
      <c r="C61" s="207">
        <f>SUM(C56:C60)</f>
        <v>0</v>
      </c>
      <c r="D61" s="207">
        <f>SUM(D56:D60)</f>
        <v>0</v>
      </c>
      <c r="E61" s="211"/>
      <c r="F61" s="297"/>
      <c r="G61" s="298"/>
      <c r="H61" s="298"/>
    </row>
    <row r="62" spans="1:8" ht="12">
      <c r="A62" s="292">
        <v>5170</v>
      </c>
      <c r="B62" s="200" t="s">
        <v>175</v>
      </c>
      <c r="C62" s="204">
        <f>SUMIF('Přehled smluv a faktur'!G7:G97,"=5170",'Přehled smluv a faktur'!J7:J97)</f>
        <v>0</v>
      </c>
      <c r="D62" s="204">
        <f>SUMIF('Přehled smluv a faktur'!G7:G97,"=5170",'Přehled smluv a faktur'!L7:L97)</f>
        <v>0</v>
      </c>
      <c r="E62" s="211"/>
      <c r="F62" s="297"/>
      <c r="G62" s="298"/>
      <c r="H62" s="298"/>
    </row>
    <row r="63" spans="1:8" ht="12">
      <c r="A63" s="292">
        <v>5171</v>
      </c>
      <c r="B63" s="200" t="s">
        <v>176</v>
      </c>
      <c r="C63" s="204">
        <f>SUMIF('Přehled smluv a faktur'!G7:G97,"=5171",'Přehled smluv a faktur'!J7:J97)</f>
        <v>0</v>
      </c>
      <c r="D63" s="204">
        <f>SUMIF('Přehled smluv a faktur'!G7:G97,"=5171",'Přehled smluv a faktur'!L7:L97)</f>
        <v>0</v>
      </c>
      <c r="E63" s="211"/>
      <c r="F63" s="297"/>
      <c r="G63" s="298"/>
      <c r="H63" s="298"/>
    </row>
    <row r="64" spans="1:8" ht="12">
      <c r="A64" s="292">
        <v>5172</v>
      </c>
      <c r="B64" s="200" t="s">
        <v>177</v>
      </c>
      <c r="C64" s="204">
        <f>SUMIF('Přehled smluv a faktur'!G7:G97,"=5172",'Přehled smluv a faktur'!J7:J97)</f>
        <v>0</v>
      </c>
      <c r="D64" s="204">
        <f>SUMIF('Přehled smluv a faktur'!G7:G97,"=5172",'Přehled smluv a faktur'!L7:L97)</f>
        <v>0</v>
      </c>
      <c r="E64" s="211"/>
      <c r="F64" s="297"/>
      <c r="G64" s="298"/>
      <c r="H64" s="298"/>
    </row>
    <row r="65" spans="1:8" ht="12">
      <c r="A65" s="292">
        <v>5179</v>
      </c>
      <c r="B65" s="200" t="s">
        <v>178</v>
      </c>
      <c r="C65" s="204">
        <f>SUMIF('Přehled smluv a faktur'!G7:G97,"=5179",'Přehled smluv a faktur'!J7:J97)</f>
        <v>0</v>
      </c>
      <c r="D65" s="204">
        <f>SUMIF('Přehled smluv a faktur'!G7:G97,"=5179",'Přehled smluv a faktur'!L7:L97)</f>
        <v>0</v>
      </c>
      <c r="E65" s="211"/>
      <c r="F65" s="297"/>
      <c r="G65" s="298"/>
      <c r="H65" s="298"/>
    </row>
    <row r="66" spans="1:8" ht="12">
      <c r="A66" s="205" t="s">
        <v>234</v>
      </c>
      <c r="B66" s="206" t="s">
        <v>179</v>
      </c>
      <c r="C66" s="207">
        <f>SUM(C62:C65)</f>
        <v>0</v>
      </c>
      <c r="D66" s="207">
        <f>SUM(D62:D65)</f>
        <v>0</v>
      </c>
      <c r="E66" s="211"/>
      <c r="F66" s="297"/>
      <c r="G66" s="298"/>
      <c r="H66" s="298"/>
    </row>
    <row r="67" spans="1:8" ht="12">
      <c r="A67" s="205" t="s">
        <v>235</v>
      </c>
      <c r="B67" s="201" t="s">
        <v>181</v>
      </c>
      <c r="C67" s="207">
        <f>C66+C61+C55+C49+C39+C33+C23+C13+C8</f>
        <v>0</v>
      </c>
      <c r="D67" s="207">
        <f>D66+D61+D55+D49+D39+D33+D23+D13+D8</f>
        <v>0</v>
      </c>
      <c r="E67" s="211"/>
      <c r="F67" s="297"/>
      <c r="G67" s="298"/>
      <c r="H67" s="298"/>
    </row>
    <row r="68" spans="5:6" ht="12">
      <c r="E68" s="220"/>
      <c r="F68" s="220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51" sqref="A51"/>
    </sheetView>
  </sheetViews>
  <sheetFormatPr defaultColWidth="9.140625" defaultRowHeight="12.75"/>
  <cols>
    <col min="1" max="1" width="34.140625" style="181" customWidth="1"/>
    <col min="2" max="2" width="19.7109375" style="286" customWidth="1"/>
    <col min="3" max="3" width="18.57421875" style="181" customWidth="1"/>
    <col min="4" max="4" width="15.7109375" style="181" customWidth="1"/>
    <col min="5" max="5" width="15.57421875" style="189" customWidth="1"/>
    <col min="6" max="6" width="12.8515625" style="181" customWidth="1"/>
    <col min="7" max="16384" width="9.140625" style="181" customWidth="1"/>
  </cols>
  <sheetData>
    <row r="1" spans="1:6" ht="11.25" customHeight="1">
      <c r="A1" s="518" t="s">
        <v>186</v>
      </c>
      <c r="B1" s="518"/>
      <c r="C1" s="518"/>
      <c r="D1" s="287"/>
      <c r="E1" s="225"/>
      <c r="F1" s="226"/>
    </row>
    <row r="2" spans="2:4" ht="11.25" customHeight="1">
      <c r="B2" s="227"/>
      <c r="C2" s="194"/>
      <c r="D2" s="194"/>
    </row>
    <row r="3" spans="1:4" ht="11.25" customHeight="1">
      <c r="A3" s="228" t="s">
        <v>187</v>
      </c>
      <c r="B3" s="227"/>
      <c r="C3" s="194"/>
      <c r="D3" s="194"/>
    </row>
    <row r="4" spans="1:4" ht="11.25" customHeight="1">
      <c r="A4" s="229" t="s">
        <v>188</v>
      </c>
      <c r="B4" s="230" t="s">
        <v>189</v>
      </c>
      <c r="C4" s="519" t="s">
        <v>190</v>
      </c>
      <c r="D4" s="519"/>
    </row>
    <row r="5" spans="1:4" ht="11.25" customHeight="1">
      <c r="A5" s="231"/>
      <c r="B5" s="232"/>
      <c r="C5" s="520"/>
      <c r="D5" s="520"/>
    </row>
    <row r="6" spans="1:4" ht="11.25" customHeight="1">
      <c r="A6" s="233"/>
      <c r="B6" s="234"/>
      <c r="C6" s="521"/>
      <c r="D6" s="521"/>
    </row>
    <row r="7" spans="1:4" ht="11.25" customHeight="1">
      <c r="A7" s="235"/>
      <c r="B7" s="236"/>
      <c r="C7" s="521"/>
      <c r="D7" s="521"/>
    </row>
    <row r="8" spans="1:4" ht="11.25" customHeight="1">
      <c r="A8" s="237"/>
      <c r="B8" s="238"/>
      <c r="C8" s="522"/>
      <c r="D8" s="522"/>
    </row>
    <row r="9" ht="11.25" customHeight="1">
      <c r="B9" s="239"/>
    </row>
    <row r="10" spans="1:2" ht="11.25" customHeight="1">
      <c r="A10" s="240" t="s">
        <v>191</v>
      </c>
      <c r="B10" s="239"/>
    </row>
    <row r="11" spans="1:5" ht="18.75" customHeight="1">
      <c r="A11" s="241" t="s">
        <v>192</v>
      </c>
      <c r="B11" s="242" t="s">
        <v>193</v>
      </c>
      <c r="C11" s="243" t="s">
        <v>194</v>
      </c>
      <c r="D11" s="244" t="s">
        <v>195</v>
      </c>
      <c r="E11" s="245"/>
    </row>
    <row r="12" spans="1:5" ht="11.25" customHeight="1">
      <c r="A12" s="246" t="s">
        <v>196</v>
      </c>
      <c r="B12" s="247"/>
      <c r="C12" s="248"/>
      <c r="D12" s="249"/>
      <c r="E12" s="250"/>
    </row>
    <row r="13" spans="1:5" ht="11.25" customHeight="1">
      <c r="A13" s="251" t="s">
        <v>197</v>
      </c>
      <c r="B13" s="252"/>
      <c r="C13" s="253"/>
      <c r="D13" s="254"/>
      <c r="E13" s="250"/>
    </row>
    <row r="14" spans="1:5" ht="11.25" customHeight="1">
      <c r="A14" s="194"/>
      <c r="B14" s="255"/>
      <c r="C14" s="256"/>
      <c r="D14" s="256"/>
      <c r="E14" s="256"/>
    </row>
    <row r="15" spans="1:5" ht="11.25" customHeight="1" hidden="1">
      <c r="A15" s="257" t="s">
        <v>198</v>
      </c>
      <c r="B15" s="255"/>
      <c r="C15" s="256"/>
      <c r="D15" s="256"/>
      <c r="E15" s="256"/>
    </row>
    <row r="16" spans="1:5" ht="11.25" customHeight="1" hidden="1">
      <c r="A16" s="194"/>
      <c r="B16" s="255"/>
      <c r="C16" s="256"/>
      <c r="D16" s="256"/>
      <c r="E16" s="256"/>
    </row>
    <row r="17" spans="1:6" ht="11.25" customHeight="1" hidden="1">
      <c r="A17" s="523" t="s">
        <v>199</v>
      </c>
      <c r="B17" s="525" t="s">
        <v>200</v>
      </c>
      <c r="C17" s="527" t="s">
        <v>201</v>
      </c>
      <c r="D17" s="529" t="s">
        <v>202</v>
      </c>
      <c r="E17" s="529"/>
      <c r="F17" s="529" t="s">
        <v>195</v>
      </c>
    </row>
    <row r="18" spans="1:6" ht="11.25" customHeight="1" hidden="1">
      <c r="A18" s="524"/>
      <c r="B18" s="526"/>
      <c r="C18" s="528"/>
      <c r="D18" s="258" t="s">
        <v>203</v>
      </c>
      <c r="E18" s="259" t="s">
        <v>204</v>
      </c>
      <c r="F18" s="529"/>
    </row>
    <row r="19" spans="1:6" ht="11.25" customHeight="1" hidden="1">
      <c r="A19" s="260"/>
      <c r="B19" s="261"/>
      <c r="C19" s="261"/>
      <c r="D19" s="261"/>
      <c r="E19" s="261"/>
      <c r="F19" s="262"/>
    </row>
    <row r="20" spans="1:6" ht="11.25" customHeight="1" hidden="1">
      <c r="A20" s="263"/>
      <c r="B20" s="249"/>
      <c r="C20" s="264"/>
      <c r="D20" s="264"/>
      <c r="E20" s="249"/>
      <c r="F20" s="265"/>
    </row>
    <row r="21" spans="1:6" ht="11.25" customHeight="1" hidden="1">
      <c r="A21" s="266"/>
      <c r="B21" s="267"/>
      <c r="C21" s="268"/>
      <c r="D21" s="268"/>
      <c r="E21" s="267"/>
      <c r="F21" s="269"/>
    </row>
    <row r="22" spans="1:5" ht="11.25" customHeight="1">
      <c r="A22" s="194" t="s">
        <v>198</v>
      </c>
      <c r="B22" s="255"/>
      <c r="C22" s="256"/>
      <c r="D22" s="256"/>
      <c r="E22" s="256"/>
    </row>
    <row r="23" spans="1:6" ht="11.25" customHeight="1">
      <c r="A23" s="523" t="s">
        <v>199</v>
      </c>
      <c r="B23" s="525" t="s">
        <v>200</v>
      </c>
      <c r="C23" s="527" t="s">
        <v>205</v>
      </c>
      <c r="D23" s="529" t="s">
        <v>202</v>
      </c>
      <c r="E23" s="529"/>
      <c r="F23" s="529" t="s">
        <v>195</v>
      </c>
    </row>
    <row r="24" spans="1:6" ht="11.25" customHeight="1">
      <c r="A24" s="524"/>
      <c r="B24" s="526"/>
      <c r="C24" s="528"/>
      <c r="D24" s="258" t="s">
        <v>203</v>
      </c>
      <c r="E24" s="259" t="s">
        <v>204</v>
      </c>
      <c r="F24" s="529"/>
    </row>
    <row r="25" spans="1:6" ht="11.25" customHeight="1">
      <c r="A25" s="260"/>
      <c r="B25" s="261"/>
      <c r="C25" s="261"/>
      <c r="D25" s="261"/>
      <c r="E25" s="261"/>
      <c r="F25" s="262"/>
    </row>
    <row r="26" spans="1:6" ht="11.25" customHeight="1">
      <c r="A26" s="263"/>
      <c r="B26" s="249"/>
      <c r="C26" s="264"/>
      <c r="D26" s="264"/>
      <c r="E26" s="249"/>
      <c r="F26" s="270"/>
    </row>
    <row r="27" spans="1:6" ht="11.25" customHeight="1">
      <c r="A27" s="251"/>
      <c r="B27" s="254"/>
      <c r="C27" s="271"/>
      <c r="D27" s="271"/>
      <c r="E27" s="254"/>
      <c r="F27" s="272"/>
    </row>
    <row r="28" spans="1:6" ht="11.25" customHeight="1">
      <c r="A28" s="273"/>
      <c r="B28" s="274"/>
      <c r="C28" s="275"/>
      <c r="D28" s="275"/>
      <c r="E28" s="274"/>
      <c r="F28" s="276"/>
    </row>
    <row r="29" spans="1:6" ht="11.25" customHeight="1">
      <c r="A29" s="277" t="s">
        <v>206</v>
      </c>
      <c r="B29" s="278"/>
      <c r="C29" s="279"/>
      <c r="D29" s="279"/>
      <c r="E29" s="278"/>
      <c r="F29" s="280"/>
    </row>
    <row r="30" spans="1:6" ht="11.25" customHeight="1">
      <c r="A30" s="523" t="s">
        <v>207</v>
      </c>
      <c r="B30" s="525" t="s">
        <v>200</v>
      </c>
      <c r="C30" s="527" t="s">
        <v>208</v>
      </c>
      <c r="D30" s="529" t="s">
        <v>209</v>
      </c>
      <c r="E30" s="529"/>
      <c r="F30" s="529" t="s">
        <v>195</v>
      </c>
    </row>
    <row r="31" spans="1:6" ht="13.5" customHeight="1">
      <c r="A31" s="524"/>
      <c r="B31" s="526"/>
      <c r="C31" s="528"/>
      <c r="D31" s="258" t="s">
        <v>203</v>
      </c>
      <c r="E31" s="259" t="s">
        <v>204</v>
      </c>
      <c r="F31" s="529"/>
    </row>
    <row r="32" spans="1:6" ht="11.25" customHeight="1">
      <c r="A32" s="260"/>
      <c r="B32" s="261"/>
      <c r="C32" s="261"/>
      <c r="D32" s="261"/>
      <c r="E32" s="261"/>
      <c r="F32" s="262"/>
    </row>
    <row r="33" spans="1:6" ht="11.25" customHeight="1">
      <c r="A33" s="263"/>
      <c r="B33" s="249"/>
      <c r="C33" s="264"/>
      <c r="D33" s="264"/>
      <c r="E33" s="249"/>
      <c r="F33" s="270"/>
    </row>
    <row r="34" spans="1:6" ht="11.25" customHeight="1">
      <c r="A34" s="263"/>
      <c r="B34" s="249"/>
      <c r="C34" s="264"/>
      <c r="D34" s="264"/>
      <c r="E34" s="249"/>
      <c r="F34" s="270"/>
    </row>
    <row r="35" spans="1:6" ht="11.25" customHeight="1">
      <c r="A35" s="263"/>
      <c r="B35" s="249"/>
      <c r="C35" s="264"/>
      <c r="D35" s="264"/>
      <c r="E35" s="249"/>
      <c r="F35" s="270"/>
    </row>
    <row r="36" spans="1:6" ht="11.25" customHeight="1">
      <c r="A36" s="263"/>
      <c r="B36" s="249"/>
      <c r="C36" s="264"/>
      <c r="D36" s="264"/>
      <c r="E36" s="249"/>
      <c r="F36" s="270"/>
    </row>
    <row r="37" spans="1:6" ht="11.25" customHeight="1">
      <c r="A37" s="263"/>
      <c r="B37" s="249"/>
      <c r="C37" s="264"/>
      <c r="D37" s="264"/>
      <c r="E37" s="249"/>
      <c r="F37" s="270"/>
    </row>
    <row r="38" spans="1:6" ht="11.25" customHeight="1">
      <c r="A38" s="263"/>
      <c r="B38" s="249"/>
      <c r="C38" s="264"/>
      <c r="D38" s="264"/>
      <c r="E38" s="249"/>
      <c r="F38" s="270"/>
    </row>
    <row r="39" spans="1:6" ht="11.25" customHeight="1">
      <c r="A39" s="266"/>
      <c r="B39" s="267"/>
      <c r="C39" s="268"/>
      <c r="D39" s="268"/>
      <c r="E39" s="267"/>
      <c r="F39" s="281"/>
    </row>
    <row r="40" spans="1:5" ht="12.75" customHeight="1">
      <c r="A40" s="194"/>
      <c r="B40" s="255"/>
      <c r="C40" s="256"/>
      <c r="D40" s="256"/>
      <c r="E40" s="256"/>
    </row>
    <row r="41" spans="1:5" ht="12.75" customHeight="1">
      <c r="A41" s="228" t="s">
        <v>210</v>
      </c>
      <c r="B41" s="255"/>
      <c r="C41" s="256"/>
      <c r="D41" s="256"/>
      <c r="E41" s="256"/>
    </row>
    <row r="42" spans="1:6" ht="18.75" customHeight="1">
      <c r="A42" s="530" t="s">
        <v>211</v>
      </c>
      <c r="B42" s="531"/>
      <c r="C42" s="282" t="s">
        <v>212</v>
      </c>
      <c r="D42" s="530" t="s">
        <v>213</v>
      </c>
      <c r="E42" s="532"/>
      <c r="F42" s="533"/>
    </row>
    <row r="43" spans="1:6" ht="11.25" customHeight="1">
      <c r="A43" s="534"/>
      <c r="B43" s="535"/>
      <c r="C43" s="283"/>
      <c r="D43" s="536"/>
      <c r="E43" s="537"/>
      <c r="F43" s="535"/>
    </row>
    <row r="44" spans="1:6" ht="11.25" customHeight="1">
      <c r="A44" s="538"/>
      <c r="B44" s="539"/>
      <c r="C44" s="284"/>
      <c r="D44" s="540"/>
      <c r="E44" s="541"/>
      <c r="F44" s="539"/>
    </row>
    <row r="45" spans="1:6" ht="11.25" customHeight="1">
      <c r="A45" s="538"/>
      <c r="B45" s="539"/>
      <c r="C45" s="284"/>
      <c r="D45" s="540"/>
      <c r="E45" s="541"/>
      <c r="F45" s="539"/>
    </row>
    <row r="46" spans="1:6" ht="11.25" customHeight="1">
      <c r="A46" s="555"/>
      <c r="B46" s="556"/>
      <c r="C46" s="285"/>
      <c r="D46" s="557"/>
      <c r="E46" s="558"/>
      <c r="F46" s="556"/>
    </row>
    <row r="48" spans="1:10" ht="9.75">
      <c r="A48" s="548" t="s">
        <v>215</v>
      </c>
      <c r="B48" s="548" t="s">
        <v>104</v>
      </c>
      <c r="C48" s="542" t="s">
        <v>105</v>
      </c>
      <c r="D48" s="543"/>
      <c r="E48" s="548" t="s">
        <v>106</v>
      </c>
      <c r="F48" s="551"/>
      <c r="G48" s="552"/>
      <c r="H48" s="543"/>
      <c r="I48" s="289"/>
      <c r="J48" s="288"/>
    </row>
    <row r="49" spans="1:10" ht="9.75">
      <c r="A49" s="559"/>
      <c r="B49" s="559"/>
      <c r="C49" s="544"/>
      <c r="D49" s="545"/>
      <c r="E49" s="549"/>
      <c r="F49" s="544"/>
      <c r="G49" s="553"/>
      <c r="H49" s="545"/>
      <c r="I49" s="288"/>
      <c r="J49" s="288"/>
    </row>
    <row r="50" spans="1:10" ht="9.75">
      <c r="A50" s="560"/>
      <c r="B50" s="560"/>
      <c r="C50" s="546"/>
      <c r="D50" s="547"/>
      <c r="E50" s="550"/>
      <c r="F50" s="546"/>
      <c r="G50" s="554"/>
      <c r="H50" s="547"/>
      <c r="I50" s="288"/>
      <c r="J50" s="288"/>
    </row>
  </sheetData>
  <sheetProtection/>
  <protectedRanges>
    <protectedRange sqref="C48:D48" name="Oblast3"/>
  </protectedRanges>
  <mergeCells count="36">
    <mergeCell ref="C48:D50"/>
    <mergeCell ref="E48:E50"/>
    <mergeCell ref="F48:H50"/>
    <mergeCell ref="A46:B46"/>
    <mergeCell ref="D46:F46"/>
    <mergeCell ref="A48:A50"/>
    <mergeCell ref="B48:B50"/>
    <mergeCell ref="A44:B44"/>
    <mergeCell ref="D44:F44"/>
    <mergeCell ref="A45:B45"/>
    <mergeCell ref="D45:F45"/>
    <mergeCell ref="F30:F31"/>
    <mergeCell ref="A42:B42"/>
    <mergeCell ref="D42:F42"/>
    <mergeCell ref="A43:B43"/>
    <mergeCell ref="D43:F43"/>
    <mergeCell ref="A30:A31"/>
    <mergeCell ref="B30:B31"/>
    <mergeCell ref="C30:C31"/>
    <mergeCell ref="D30:E30"/>
    <mergeCell ref="F17:F18"/>
    <mergeCell ref="A23:A24"/>
    <mergeCell ref="B23:B24"/>
    <mergeCell ref="C23:C24"/>
    <mergeCell ref="D23:E23"/>
    <mergeCell ref="F23:F24"/>
    <mergeCell ref="C7:D7"/>
    <mergeCell ref="C8:D8"/>
    <mergeCell ref="A17:A18"/>
    <mergeCell ref="B17:B18"/>
    <mergeCell ref="C17:C18"/>
    <mergeCell ref="D17:E17"/>
    <mergeCell ref="A1:C1"/>
    <mergeCell ref="C4:D4"/>
    <mergeCell ref="C5:D5"/>
    <mergeCell ref="C6:D6"/>
  </mergeCells>
  <printOptions/>
  <pageMargins left="0.75" right="0.75" top="1" bottom="1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C1" sqref="C1:C2"/>
    </sheetView>
  </sheetViews>
  <sheetFormatPr defaultColWidth="9.140625" defaultRowHeight="12.75"/>
  <sheetData>
    <row r="1" spans="1:3" ht="12.75">
      <c r="A1" s="292">
        <v>5010</v>
      </c>
      <c r="B1" s="292">
        <v>6010</v>
      </c>
      <c r="C1" t="s">
        <v>183</v>
      </c>
    </row>
    <row r="2" spans="1:3" ht="12.75">
      <c r="A2" s="292">
        <v>5011</v>
      </c>
      <c r="B2" s="292">
        <v>6011</v>
      </c>
      <c r="C2" t="s">
        <v>184</v>
      </c>
    </row>
    <row r="3" spans="1:2" ht="12.75">
      <c r="A3" s="292">
        <v>5012</v>
      </c>
      <c r="B3" s="292">
        <v>6012</v>
      </c>
    </row>
    <row r="4" spans="1:2" ht="12.75">
      <c r="A4" s="292">
        <v>5014</v>
      </c>
      <c r="B4" s="292">
        <v>6013</v>
      </c>
    </row>
    <row r="5" spans="1:2" ht="12.75">
      <c r="A5" s="292">
        <v>5019</v>
      </c>
      <c r="B5" s="292">
        <v>6014</v>
      </c>
    </row>
    <row r="6" spans="1:2" ht="12.75">
      <c r="A6" s="292">
        <v>5030</v>
      </c>
      <c r="B6" s="292">
        <v>6019</v>
      </c>
    </row>
    <row r="7" spans="1:2" ht="12.75">
      <c r="A7" s="292">
        <v>5031</v>
      </c>
      <c r="B7" s="292">
        <v>6090</v>
      </c>
    </row>
    <row r="8" spans="1:2" ht="12.75">
      <c r="A8" s="292">
        <v>5032</v>
      </c>
      <c r="B8" s="292">
        <v>6091</v>
      </c>
    </row>
    <row r="9" spans="1:2" ht="12.75">
      <c r="A9" s="292">
        <v>5039</v>
      </c>
      <c r="B9" s="292">
        <v>6092</v>
      </c>
    </row>
    <row r="10" spans="1:2" ht="12.75">
      <c r="A10" s="292">
        <v>5050</v>
      </c>
      <c r="B10" s="292">
        <v>6093</v>
      </c>
    </row>
    <row r="11" spans="1:2" ht="12.75">
      <c r="A11" s="292">
        <v>5051</v>
      </c>
      <c r="B11" s="292">
        <v>6094</v>
      </c>
    </row>
    <row r="12" spans="1:2" ht="12.75">
      <c r="A12" s="292">
        <v>5052</v>
      </c>
      <c r="B12" s="292">
        <v>6095</v>
      </c>
    </row>
    <row r="13" spans="1:2" ht="12.75">
      <c r="A13" s="292">
        <v>5053</v>
      </c>
      <c r="B13" s="292">
        <v>6096</v>
      </c>
    </row>
    <row r="14" spans="1:2" ht="12.75">
      <c r="A14" s="292">
        <v>5054</v>
      </c>
      <c r="B14" s="292">
        <v>6097</v>
      </c>
    </row>
    <row r="15" spans="1:2" ht="12.75">
      <c r="A15" s="292">
        <v>5055</v>
      </c>
      <c r="B15" s="292">
        <v>6099</v>
      </c>
    </row>
    <row r="16" spans="1:2" ht="12.75">
      <c r="A16" s="292">
        <v>5056</v>
      </c>
      <c r="B16" s="292">
        <v>6110</v>
      </c>
    </row>
    <row r="17" spans="1:2" ht="12.75">
      <c r="A17" s="292">
        <v>5057</v>
      </c>
      <c r="B17" s="292">
        <v>6111</v>
      </c>
    </row>
    <row r="18" spans="1:2" ht="12.75">
      <c r="A18" s="292">
        <v>5058</v>
      </c>
      <c r="B18" s="292">
        <v>6112</v>
      </c>
    </row>
    <row r="19" spans="1:2" ht="12.75">
      <c r="A19" s="292">
        <v>5070</v>
      </c>
      <c r="B19" s="292">
        <v>6113</v>
      </c>
    </row>
    <row r="20" spans="1:2" ht="12.75">
      <c r="A20" s="292">
        <v>5071</v>
      </c>
      <c r="B20" s="292">
        <v>6114</v>
      </c>
    </row>
    <row r="21" spans="1:2" ht="12.75">
      <c r="A21" s="292">
        <v>5072</v>
      </c>
      <c r="B21" s="292">
        <v>6115</v>
      </c>
    </row>
    <row r="22" spans="1:2" ht="12.75">
      <c r="A22" s="292">
        <v>5073</v>
      </c>
      <c r="B22" s="292">
        <v>6116</v>
      </c>
    </row>
    <row r="23" spans="1:2" ht="12.75">
      <c r="A23" s="292">
        <v>5074</v>
      </c>
      <c r="B23" s="292">
        <v>6117</v>
      </c>
    </row>
    <row r="24" spans="1:2" ht="12.75">
      <c r="A24" s="292">
        <v>5075</v>
      </c>
      <c r="B24" s="292">
        <v>6119</v>
      </c>
    </row>
    <row r="25" spans="1:2" ht="12.75">
      <c r="A25" s="292">
        <v>5076</v>
      </c>
      <c r="B25" s="292">
        <v>6130</v>
      </c>
    </row>
    <row r="26" spans="1:2" ht="12.75">
      <c r="A26" s="292">
        <v>5077</v>
      </c>
      <c r="B26" s="292">
        <v>6131</v>
      </c>
    </row>
    <row r="27" spans="1:2" ht="12.75">
      <c r="A27" s="292">
        <v>5078</v>
      </c>
      <c r="B27" s="292">
        <v>6132</v>
      </c>
    </row>
    <row r="28" spans="1:2" ht="12.75">
      <c r="A28" s="292">
        <v>5090</v>
      </c>
      <c r="B28" s="292">
        <v>6133</v>
      </c>
    </row>
    <row r="29" spans="1:2" ht="12.75">
      <c r="A29" s="292">
        <v>5091</v>
      </c>
      <c r="B29" s="292">
        <v>6139</v>
      </c>
    </row>
    <row r="30" spans="1:2" ht="12.75">
      <c r="A30" s="292">
        <v>5093</v>
      </c>
      <c r="B30" s="292">
        <v>6150</v>
      </c>
    </row>
    <row r="31" spans="1:2" ht="12.75">
      <c r="A31" s="292">
        <v>5095</v>
      </c>
      <c r="B31" s="292">
        <v>6151</v>
      </c>
    </row>
    <row r="32" spans="1:2" ht="12.75">
      <c r="A32" s="292">
        <v>5099</v>
      </c>
      <c r="B32" s="292">
        <v>6152</v>
      </c>
    </row>
    <row r="33" spans="1:2" ht="12.75">
      <c r="A33" s="292">
        <v>5110</v>
      </c>
      <c r="B33" s="292">
        <v>6153</v>
      </c>
    </row>
    <row r="34" spans="1:2" ht="12.75">
      <c r="A34" s="292">
        <v>5111</v>
      </c>
      <c r="B34" s="292">
        <v>6154</v>
      </c>
    </row>
    <row r="35" spans="1:2" ht="12.75">
      <c r="A35" s="292">
        <v>5112</v>
      </c>
      <c r="B35" s="292">
        <v>6155</v>
      </c>
    </row>
    <row r="36" spans="1:2" ht="12.75">
      <c r="A36" s="292">
        <v>5113</v>
      </c>
      <c r="B36" s="292">
        <v>6156</v>
      </c>
    </row>
    <row r="37" spans="1:2" ht="12.75">
      <c r="A37" s="292">
        <v>5114</v>
      </c>
      <c r="B37" s="292">
        <v>6157</v>
      </c>
    </row>
    <row r="38" spans="1:2" ht="12.75">
      <c r="A38" s="292">
        <v>5115</v>
      </c>
      <c r="B38" s="292">
        <v>6159</v>
      </c>
    </row>
    <row r="39" spans="1:2" ht="12.75">
      <c r="A39" s="292">
        <v>5116</v>
      </c>
      <c r="B39" s="292">
        <v>6170</v>
      </c>
    </row>
    <row r="40" spans="1:2" ht="12.75">
      <c r="A40" s="292">
        <v>5117</v>
      </c>
      <c r="B40" s="292">
        <v>6171</v>
      </c>
    </row>
    <row r="41" spans="1:2" ht="12.75">
      <c r="A41" s="292">
        <v>5119</v>
      </c>
      <c r="B41" s="292">
        <v>6172</v>
      </c>
    </row>
    <row r="42" spans="1:2" ht="12.75">
      <c r="A42" s="292">
        <v>5130</v>
      </c>
      <c r="B42" s="292">
        <v>6179</v>
      </c>
    </row>
    <row r="43" ht="12.75">
      <c r="A43" s="292">
        <v>5131</v>
      </c>
    </row>
    <row r="44" ht="12.75">
      <c r="A44" s="292">
        <v>5132</v>
      </c>
    </row>
    <row r="45" ht="12.75">
      <c r="A45" s="292">
        <v>5133</v>
      </c>
    </row>
    <row r="46" ht="12.75">
      <c r="A46" s="292">
        <v>5139</v>
      </c>
    </row>
    <row r="47" ht="12.75">
      <c r="A47" s="292">
        <v>5154</v>
      </c>
    </row>
    <row r="48" ht="12.75">
      <c r="A48" s="292">
        <v>5155</v>
      </c>
    </row>
    <row r="49" ht="12.75">
      <c r="A49" s="292">
        <v>5156</v>
      </c>
    </row>
    <row r="50" ht="12.75">
      <c r="A50" s="292">
        <v>5157</v>
      </c>
    </row>
    <row r="51" ht="12.75">
      <c r="A51" s="292">
        <v>5159</v>
      </c>
    </row>
    <row r="52" spans="1:2" ht="12.75">
      <c r="A52" s="300">
        <v>5170</v>
      </c>
      <c r="B52" s="206"/>
    </row>
    <row r="53" ht="12.75">
      <c r="A53" s="300">
        <v>5171</v>
      </c>
    </row>
    <row r="54" ht="12.75">
      <c r="A54" s="300">
        <v>5172</v>
      </c>
    </row>
    <row r="55" ht="12.75">
      <c r="A55" s="300">
        <v>5179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SmelikovaT</cp:lastModifiedBy>
  <cp:lastPrinted>2010-06-28T11:14:58Z</cp:lastPrinted>
  <dcterms:created xsi:type="dcterms:W3CDTF">2005-10-27T08:47:25Z</dcterms:created>
  <dcterms:modified xsi:type="dcterms:W3CDTF">2010-07-26T14:15:25Z</dcterms:modified>
  <cp:category/>
  <cp:version/>
  <cp:contentType/>
  <cp:contentStatus/>
</cp:coreProperties>
</file>