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Přehled smluv a faktur" sheetId="1" r:id="rId1"/>
    <sheet name="Rozúčtování na řádky" sheetId="2" r:id="rId2"/>
    <sheet name="ZVA" sheetId="3" r:id="rId3"/>
    <sheet name="List1" sheetId="4" state="hidden" r:id="rId4"/>
  </sheets>
  <definedNames>
    <definedName name="Inv">'List1'!$B$1:$B$42</definedName>
    <definedName name="INV1">'List1'!$B$1:$B$43</definedName>
    <definedName name="_xlnm.Print_Titles" localSheetId="0">'Přehled smluv a faktur'!$1:$2</definedName>
    <definedName name="Nein">'List1'!$A$1:$A$55</definedName>
    <definedName name="_xlnm.Print_Area" localSheetId="0">'Přehled smluv a faktur'!$A$1:$N$80</definedName>
    <definedName name="test1">'List1'!$A$1:$A$56</definedName>
    <definedName name="test2">'List1'!$A$1:$A$56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B3" authorId="0">
      <text>
        <r>
          <rPr>
            <sz val="8"/>
            <color indexed="10"/>
            <rFont val="Tahoma"/>
            <family val="2"/>
          </rPr>
          <t xml:space="preserve">Obsahuje náklady k registraci projektu.
</t>
        </r>
      </text>
    </comment>
    <comment ref="B4" authorId="0">
      <text>
        <r>
          <rPr>
            <sz val="8"/>
            <color indexed="10"/>
            <rFont val="Tahoma"/>
            <family val="2"/>
          </rPr>
          <t xml:space="preserve">Obsahuje náklady na pořízení dokumentace pro územní a stavební řízení a dokumentace skutečného provedení stavby.
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sz val="8"/>
            <color indexed="10"/>
            <rFont val="Tahoma"/>
            <family val="2"/>
          </rPr>
          <t>Obsahuje náklady služeb podle mandátních smluv, kdy se investor nechá zastupovat ve stavebním řízení, ve výkonu stavebního dozoru, v zabezpečení přípravy výběrových řízení, v případech, kdy jde o pořízení nebo technické zhodnocení dlouhodobého majetku.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sz val="8"/>
            <color indexed="10"/>
            <rFont val="Tahoma"/>
            <family val="2"/>
          </rPr>
          <t>Obsahuje náklady nezahrnuté do výše uvedených řádků.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color indexed="10"/>
            <rFont val="Tahoma"/>
            <family val="2"/>
          </rPr>
          <t>Bez dlouhodobého hmotného majetku.</t>
        </r>
        <r>
          <rPr>
            <sz val="8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color indexed="10"/>
            <rFont val="Tahoma"/>
            <family val="2"/>
          </rPr>
          <t>Obsahuje náklady údrřby a oprav stavební části staveb, tj. činností, ketrými se udržuje tento hmotný majetek v provozuschopném stavu (neprovádí se jeho zhodnocení).</t>
        </r>
        <r>
          <rPr>
            <sz val="8"/>
            <rFont val="Tahoma"/>
            <family val="2"/>
          </rPr>
          <t xml:space="preserve">
</t>
        </r>
      </text>
    </comment>
    <comment ref="B40" authorId="0">
      <text>
        <r>
          <rPr>
            <sz val="8"/>
            <color indexed="10"/>
            <rFont val="Tahoma"/>
            <family val="2"/>
          </rPr>
          <t>Obsahuje neinvestiční náklady na pořízení všech druhů dopravních prostředků</t>
        </r>
        <r>
          <rPr>
            <sz val="8"/>
            <rFont val="Tahoma"/>
            <family val="2"/>
          </rPr>
          <t xml:space="preserve">
</t>
        </r>
      </text>
    </comment>
    <comment ref="B41" authorId="0">
      <text>
        <r>
          <rPr>
            <sz val="8"/>
            <color indexed="10"/>
            <rFont val="Tahoma"/>
            <family val="2"/>
          </rPr>
          <t>Obsahuje neinvestiční náklady na pořízení všech druhů dopravních prostředků</t>
        </r>
        <r>
          <rPr>
            <sz val="8"/>
            <rFont val="Tahoma"/>
            <family val="2"/>
          </rPr>
          <t xml:space="preserve">
</t>
        </r>
      </text>
    </comment>
    <comment ref="B42" authorId="0">
      <text>
        <r>
          <rPr>
            <sz val="8"/>
            <color indexed="10"/>
            <rFont val="Tahoma"/>
            <family val="2"/>
          </rPr>
          <t>Obsahuje neinvestiční náklady na pořízení hardware a ostatních zařízení ICT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color indexed="10"/>
            <rFont val="Tahoma"/>
            <family val="2"/>
          </rPr>
          <t>Obsahuje neinvestiční náklady na opravy a údržbu hardware a ostatních zařízení ICT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color indexed="10"/>
            <rFont val="Tahoma"/>
            <family val="2"/>
          </rPr>
          <t>Obsahuje neinvestiční náklady na pořízení zařízení jiných než ICT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color indexed="10"/>
            <rFont val="Tahoma"/>
            <family val="2"/>
          </rPr>
          <t>Obsahuje neinvestiční náklady na opravy a údržbu zařízení jiných než ICT. Opravou a údržbou se hmotný majetek udržuje v provozuschopném stavu, neprovádí se jeho zhodnocení.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sz val="8"/>
            <color indexed="10"/>
            <rFont val="Tahoma"/>
            <family val="2"/>
          </rPr>
          <t>Neinvestiční náklady na pořízení programového vybavení ICT</t>
        </r>
        <r>
          <rPr>
            <sz val="8"/>
            <rFont val="Tahoma"/>
            <family val="2"/>
          </rPr>
          <t xml:space="preserve">
</t>
        </r>
      </text>
    </comment>
    <comment ref="B54" authorId="0">
      <text>
        <r>
          <rPr>
            <sz val="8"/>
            <color indexed="10"/>
            <rFont val="Tahoma"/>
            <family val="2"/>
          </rPr>
          <t>Obsahuje neinvestiční náklady vynaložené na pořízení a obnovu ocenitelných průmyslových, autorských a jiných práv, výsledků výzkumné a obdobné činnosti.</t>
        </r>
      </text>
    </comment>
    <comment ref="B56" authorId="0">
      <text>
        <r>
          <rPr>
            <sz val="8"/>
            <color indexed="10"/>
            <rFont val="Tahoma"/>
            <family val="2"/>
          </rPr>
          <t>Úrokové náklady neinvestičních úvěrů a úrokové náklady hrazené před a po dokončení akce.</t>
        </r>
        <r>
          <rPr>
            <sz val="8"/>
            <rFont val="Tahoma"/>
            <family val="2"/>
          </rPr>
          <t xml:space="preserve">
</t>
        </r>
      </text>
    </comment>
    <comment ref="B57" authorId="0">
      <text>
        <r>
          <rPr>
            <sz val="8"/>
            <color indexed="10"/>
            <rFont val="Tahoma"/>
            <family val="2"/>
          </rPr>
          <t>Úrokové náklady úvěru, na které poskytla záruka vláda.</t>
        </r>
        <r>
          <rPr>
            <sz val="8"/>
            <rFont val="Tahoma"/>
            <family val="2"/>
          </rPr>
          <t xml:space="preserve">
</t>
        </r>
      </text>
    </comment>
    <comment ref="B58" authorId="0">
      <text>
        <r>
          <rPr>
            <sz val="8"/>
            <color indexed="10"/>
            <rFont val="Tahoma"/>
            <family val="2"/>
          </rPr>
          <t>Úrokové náklady dodavatelských úvěrů, pokud jsou specifikovány v příslušné smlouvě. V opačném případě budou součástí splátek úvěrů na řádku 50142.</t>
        </r>
        <r>
          <rPr>
            <sz val="8"/>
            <rFont val="Tahoma"/>
            <family val="2"/>
          </rPr>
          <t xml:space="preserve">
</t>
        </r>
      </text>
    </comment>
    <comment ref="B62" authorId="0">
      <text>
        <r>
          <rPr>
            <sz val="8"/>
            <color indexed="10"/>
            <rFont val="Tahoma"/>
            <family val="2"/>
          </rPr>
          <t>Metodiku tvorby rezerv na řádcích 50081-50089 
stanovuje spráce programu.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color indexed="10"/>
            <rFont val="Tahoma"/>
            <family val="2"/>
          </rPr>
          <t>Obsahuje náklady k registraci akce.</t>
        </r>
      </text>
    </comment>
    <comment ref="F4" authorId="0">
      <text>
        <r>
          <rPr>
            <sz val="8"/>
            <color indexed="10"/>
            <rFont val="Tahoma"/>
            <family val="2"/>
          </rPr>
          <t xml:space="preserve">Obsahuje náklady na pořízení dokumentace pro územní a stavební řízení a dokumentace skutečného provedení stavby.
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color indexed="10"/>
            <rFont val="Tahoma"/>
            <family val="2"/>
          </rPr>
          <t>Obsahuje náklady služeb podle mandátních smluv, kdy se investor nechá zastupovat ve stavebním řízení, ve výkonu stavebního dozoru, v zabezpečení přípravy výběrových řízení, v případech, kdy jde o pořízení nebo technické zhodnocení dlouhodobého majetku.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sz val="8"/>
            <color indexed="10"/>
            <rFont val="Tahoma"/>
            <family val="2"/>
          </rPr>
          <t>Obsahuje nákaldy na výkupy pozemků, které jsou nezbytnou podmínkou realizace stavby, tj. stavba bude na pozemku umístěna.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sz val="8"/>
            <color indexed="10"/>
            <rFont val="Tahoma"/>
            <family val="2"/>
          </rPr>
          <t>Obsahuje nákaldy na úplatné převody nemovitostí, které jsou nezbytnou podmínkou realizace stavby, tj. vykoupené budovy a stavby budou odstraněny.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sz val="8"/>
            <color indexed="10"/>
            <rFont val="Tahoma"/>
            <family val="2"/>
          </rPr>
          <t>Obsahuje náklady nezahrnuté do výše uvedených řádků.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sz val="8"/>
            <color indexed="10"/>
            <rFont val="Tahoma"/>
            <family val="2"/>
          </rPr>
          <t>Obsahuje nákaldy pořízení nových stavebních objektů uvedených ve schválené dokumentaci stavby. Stavbou se rozumí pořízení a technické zhodnocení  majetku účtové třídy 021.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sz val="8"/>
            <color indexed="10"/>
            <rFont val="Tahoma"/>
            <family val="2"/>
          </rPr>
          <t>Obsahuje náklady technického zhodnocení dlouhodobého majetku účtové třídy 021.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sz val="8"/>
            <color indexed="10"/>
            <rFont val="Tahoma"/>
            <family val="2"/>
          </rPr>
          <t>Náklady na pořízení provozních souborů ICT evidovaných jako dlouhodobý hmotný majetek a uvedených ve schválené dokumentaci stavby.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color indexed="10"/>
            <rFont val="Tahoma"/>
            <family val="2"/>
          </rPr>
          <t>Náklady na technické zhodnocení provozních souborů ICT uvedených ve schválené dokumentaci stavby.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color indexed="10"/>
            <rFont val="Tahoma"/>
            <family val="2"/>
          </rPr>
          <t>Náklady na pořízení všech provozních souborů, kromě ICT, evidovaných jako dlouhodobý hmotný majetek a uvedených ve schválené dokumentaci stavby.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sz val="8"/>
            <color indexed="10"/>
            <rFont val="Tahoma"/>
            <family val="2"/>
          </rPr>
          <t>Náklady na technické zhodnocení všech provozních souborů, kromě ICT, uvedených ve schválené dokumentaci stavby.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sz val="8"/>
            <color indexed="10"/>
            <rFont val="Tahoma"/>
            <family val="2"/>
          </rPr>
          <t>Obsahuje investiční náklady na pořízení všech druhů dopravních prostředků</t>
        </r>
        <r>
          <rPr>
            <sz val="8"/>
            <rFont val="Tahoma"/>
            <family val="2"/>
          </rPr>
          <t xml:space="preserve">
</t>
        </r>
      </text>
    </comment>
    <comment ref="F21" authorId="0">
      <text>
        <r>
          <rPr>
            <sz val="8"/>
            <color indexed="10"/>
            <rFont val="Tahoma"/>
            <family val="2"/>
          </rPr>
          <t>Obsahuje náklady na technické zhodnocení všech druhů dopravních prostředků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sz val="8"/>
            <color indexed="10"/>
            <rFont val="Tahoma"/>
            <family val="2"/>
          </rPr>
          <t>Obsahuje investiční náklady na pořízení hardware a ostatních zařízení ICT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sz val="8"/>
            <color indexed="10"/>
            <rFont val="Tahoma"/>
            <family val="2"/>
          </rPr>
          <t>Obsahuje  náklady na technické zhodnocení hardware a ostatních zařízení ICT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sz val="8"/>
            <color indexed="10"/>
            <rFont val="Tahoma"/>
            <family val="2"/>
          </rPr>
          <t>Obsahuje investiční náklady na pořízení zařízení jiných než ICT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sz val="8"/>
            <color indexed="10"/>
            <rFont val="Tahoma"/>
            <family val="2"/>
          </rPr>
          <t xml:space="preserve">Obsahuje  náklady na technické zhodnocení zařízení jiných než ICT. 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8"/>
            <color indexed="10"/>
            <rFont val="Tahoma"/>
            <family val="2"/>
          </rPr>
          <t>Obsahuje investiční náklady na pořízení programového vybavení (software) ICT</t>
        </r>
        <r>
          <rPr>
            <sz val="8"/>
            <rFont val="Tahoma"/>
            <family val="2"/>
          </rPr>
          <t xml:space="preserve">
</t>
        </r>
      </text>
    </comment>
    <comment ref="F31" authorId="0">
      <text>
        <r>
          <rPr>
            <sz val="8"/>
            <color indexed="10"/>
            <rFont val="Tahoma"/>
            <family val="2"/>
          </rPr>
          <t>Obsahuje náklady technického zhodnocení software.</t>
        </r>
        <r>
          <rPr>
            <sz val="8"/>
            <rFont val="Tahoma"/>
            <family val="2"/>
          </rPr>
          <t xml:space="preserve">
</t>
        </r>
      </text>
    </comment>
    <comment ref="F32" authorId="0">
      <text>
        <r>
          <rPr>
            <sz val="8"/>
            <color indexed="10"/>
            <rFont val="Tahoma"/>
            <family val="2"/>
          </rPr>
          <t>Obsahuje nákaldy na pořízení ocenitelných průmyslových, autorských a jiných práv.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sz val="8"/>
            <color indexed="10"/>
            <rFont val="Tahoma"/>
            <family val="2"/>
          </rPr>
          <t xml:space="preserve">Obsahuje náklady yna pozemky k jinému účelu než je uvedeno na řádku 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sz val="8"/>
            <color indexed="10"/>
            <rFont val="Tahoma"/>
            <family val="2"/>
          </rPr>
          <t xml:space="preserve">Obsahuje náklady budov a staveb k jinému účelu než je uvedeno na řádku 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sz val="8"/>
            <color indexed="10"/>
            <rFont val="Tahoma"/>
            <family val="2"/>
          </rPr>
          <t>Úrokové náklady investičních úvěrů  hrazené po dobu výstavby.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sz val="8"/>
            <color indexed="10"/>
            <rFont val="Tahoma"/>
            <family val="2"/>
          </rPr>
          <t>Úrokové náklady úvěru, na které poskytla záruka vláda.</t>
        </r>
        <r>
          <rPr>
            <sz val="8"/>
            <rFont val="Tahoma"/>
            <family val="2"/>
          </rPr>
          <t xml:space="preserve">
</t>
        </r>
      </text>
    </comment>
    <comment ref="F42" authorId="0">
      <text>
        <r>
          <rPr>
            <sz val="8"/>
            <color indexed="10"/>
            <rFont val="Tahoma"/>
            <family val="2"/>
          </rPr>
          <t xml:space="preserve">Úrokové náklady dodavatelských úvěrů, pokud jsou specifikovány v příslušné smlouvě. V opačném případě budou součástí splátek úvěrů na řádku 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sz val="8"/>
            <color indexed="10"/>
            <rFont val="Tahoma"/>
            <family val="2"/>
          </rPr>
          <t>Metodiku tvorby rezerv na řádcích  
stanovuje spráce programu.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45" authorId="0">
      <text>
        <r>
          <rPr>
            <b/>
            <sz val="8"/>
            <rFont val="Tahoma"/>
            <family val="2"/>
          </rPr>
          <t xml:space="preserve">ROZDÍL: 
čerpání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<sst xmlns="http://schemas.openxmlformats.org/spreadsheetml/2006/main" count="350" uniqueCount="150">
  <si>
    <t>DOTACE</t>
  </si>
  <si>
    <t>MPSV</t>
  </si>
  <si>
    <t>Zpracoval</t>
  </si>
  <si>
    <t>Schválil</t>
  </si>
  <si>
    <t>Datum</t>
  </si>
  <si>
    <t>Jméno, podpis</t>
  </si>
  <si>
    <t>č. řádku</t>
  </si>
  <si>
    <t>Náklady řízení přípravy a realizace stavby</t>
  </si>
  <si>
    <t>Náklady na nákup materiálu</t>
  </si>
  <si>
    <t>Náklady na studenou vodu</t>
  </si>
  <si>
    <t>Náklady přípravy a zabezpečení</t>
  </si>
  <si>
    <t>Náklady na teplo</t>
  </si>
  <si>
    <t>Náklady na plyn</t>
  </si>
  <si>
    <t>Náklady na elektrickou energii</t>
  </si>
  <si>
    <t>Náklady na pevná paliva</t>
  </si>
  <si>
    <t>Náklady na pohonné hmoty a maziva</t>
  </si>
  <si>
    <t>Náklady na teplou vodu</t>
  </si>
  <si>
    <t>Náklady na ostatní paliva a energie</t>
  </si>
  <si>
    <t>Náklady na materiál, vodu a energie</t>
  </si>
  <si>
    <t>Platy</t>
  </si>
  <si>
    <t>Ostatní platby za odvedenou práci</t>
  </si>
  <si>
    <t>Povinné pojistné placené zaměstnavatelem</t>
  </si>
  <si>
    <t>Jiné mzdové náklady a povinné pojistné</t>
  </si>
  <si>
    <t>Mzdové náklady a povinné pojistné</t>
  </si>
  <si>
    <t>Náklady na služby pošt</t>
  </si>
  <si>
    <t>Náklady na telekomunikační a radiokomunikační služby</t>
  </si>
  <si>
    <t>Náklady na služby bankovních ústavů</t>
  </si>
  <si>
    <t>Náklady na nájemné</t>
  </si>
  <si>
    <t>Náklady na nájemné za půdu</t>
  </si>
  <si>
    <t>Náklady na poradenské, konzultační a právní služby</t>
  </si>
  <si>
    <t>Náklady na školení a vzdělávání</t>
  </si>
  <si>
    <t>Náklady na služby zpracování dat</t>
  </si>
  <si>
    <t>Náklady na služby ostatní výše neuvedené</t>
  </si>
  <si>
    <t>Náklady na nákup služeb</t>
  </si>
  <si>
    <t>Náklady obnovy stavebních objektů</t>
  </si>
  <si>
    <t>Náklady obnovy provozních souborů ICT</t>
  </si>
  <si>
    <t>Náklady obnovy provozních souborů jiných než ICT</t>
  </si>
  <si>
    <t>Jiné náklady stavební a technologické části staveb</t>
  </si>
  <si>
    <t>Náklady budov a staveb</t>
  </si>
  <si>
    <t>Náklady pořízení dopravních prostředků</t>
  </si>
  <si>
    <t>Náklady obnovy dopravních prostředků</t>
  </si>
  <si>
    <t>Náklady pořízení strojů, přístrojů a zařízení ICT</t>
  </si>
  <si>
    <t>Náklady obnovy strojů, přístrojů a zařízení ICT</t>
  </si>
  <si>
    <t>Náklady pořízení strojů, přístrojů a zařízení jiných než ICT</t>
  </si>
  <si>
    <t>Náklady na pořízení uměleckých děl nebo předmětů</t>
  </si>
  <si>
    <t>Náklady obnovy umělěckých děl nebo předmětů</t>
  </si>
  <si>
    <t>Jiné náklady na stroje, zařízení a inventář</t>
  </si>
  <si>
    <t>Náklady na stroje, zařízení a inventář</t>
  </si>
  <si>
    <t>Náklady pořízení programového vybavení</t>
  </si>
  <si>
    <t>Náklady obnovy programového vybavení</t>
  </si>
  <si>
    <t>Jiné náklady na nehmotný majetek</t>
  </si>
  <si>
    <t>Náklady na nehmotný majetek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</si>
  <si>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</si>
  <si>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</si>
  <si>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</si>
  <si>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</si>
  <si>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</si>
  <si>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Ostatní náklady realizace akce</t>
  </si>
  <si>
    <t>Rezerva na změny cenové</t>
  </si>
  <si>
    <t>Rezerva na změny věcné</t>
  </si>
  <si>
    <t>Rezerva na kurzové vlivy</t>
  </si>
  <si>
    <t>Jiný než výše uvedený druh rezervy</t>
  </si>
  <si>
    <t>Rezerva v nákladech</t>
  </si>
  <si>
    <t>Náklady přípravy a realizace celkem</t>
  </si>
  <si>
    <t>č.řádku</t>
  </si>
  <si>
    <t>NEINVESTIČNÍ POTŘEBY</t>
  </si>
  <si>
    <t>INVESTIČNÍ POTŘEBY</t>
  </si>
  <si>
    <t>Náklady na výkupy pozemků určených k výstavbě</t>
  </si>
  <si>
    <t>Náklady na výkupy budov a staveb podmiňujících výstavbu</t>
  </si>
  <si>
    <t>Náklady pořízení stavebních objektů</t>
  </si>
  <si>
    <t>Náklady pořízení provozních souborů ICT</t>
  </si>
  <si>
    <t>Náklady pořízení provozních souborů jiných než  ICT</t>
  </si>
  <si>
    <t>Náklady na zajištění dodávek energií</t>
  </si>
  <si>
    <t>Náklady úplatného převodu budov  a staveb</t>
  </si>
  <si>
    <t>Náklady budov  a staveb</t>
  </si>
  <si>
    <t>Náklady na ocenitelná práva</t>
  </si>
  <si>
    <t>Náklady na výsledky výzkumné a obdobné činnosti</t>
  </si>
  <si>
    <t>Náklady na nehnotný majetek</t>
  </si>
  <si>
    <t>Náklady na pěstitelské celky trvalých porostů</t>
  </si>
  <si>
    <t>Odvody a poplatky za odnětí zemědělské a lesní půdy</t>
  </si>
  <si>
    <t xml:space="preserve">Náklady úplatného převodu pozemků </t>
  </si>
  <si>
    <t>60 05s</t>
  </si>
  <si>
    <t>SMLOUVY</t>
  </si>
  <si>
    <t>FAKTURY</t>
  </si>
  <si>
    <t xml:space="preserve"> </t>
  </si>
  <si>
    <t>S</t>
  </si>
  <si>
    <t xml:space="preserve">PODÍL VLASTNÍCH A OSTATNÍCH ZDROJŮ </t>
  </si>
  <si>
    <t>XXXX</t>
  </si>
  <si>
    <t>Plnění termínů, indikátorů, parametrů a ukazatelů finanční bilance akce</t>
  </si>
  <si>
    <t>Název rozhodnutí</t>
  </si>
  <si>
    <t>Souhrn finančních zdrojů</t>
  </si>
  <si>
    <t>Podíl dotace k celkovým zdrojům financování v %</t>
  </si>
  <si>
    <t>Skutečnost</t>
  </si>
  <si>
    <t>Vyhodnocení</t>
  </si>
  <si>
    <t>INDIKÁTORY</t>
  </si>
  <si>
    <t>Název indikátoru</t>
  </si>
  <si>
    <t>Měrná jednotka</t>
  </si>
  <si>
    <t>Rozdíl v %</t>
  </si>
  <si>
    <t>PARAMETRY</t>
  </si>
  <si>
    <t>Název parametru</t>
  </si>
  <si>
    <t>Celkem</t>
  </si>
  <si>
    <t>Celkem čerpáno</t>
  </si>
  <si>
    <t>ČERPÁNÍ FINANČNÍCH PROSTŘEDKŮ SR</t>
  </si>
  <si>
    <t>NEČERPANÉ PROSTŘEDKY SR</t>
  </si>
  <si>
    <t>Náklady inženýrské činnosti projektu</t>
  </si>
  <si>
    <t>501s</t>
  </si>
  <si>
    <t>503s</t>
  </si>
  <si>
    <t>505s</t>
  </si>
  <si>
    <t>INV</t>
  </si>
  <si>
    <t>NEINV</t>
  </si>
  <si>
    <t>507s</t>
  </si>
  <si>
    <t>509s</t>
  </si>
  <si>
    <t>511s</t>
  </si>
  <si>
    <t>Jiné náklady na nehmotná majetek</t>
  </si>
  <si>
    <t>513s</t>
  </si>
  <si>
    <t>515s</t>
  </si>
  <si>
    <t>Náklady dokumentace k registraci projektu</t>
  </si>
  <si>
    <t>Náklady dokumentace projektu</t>
  </si>
  <si>
    <t>Jiné náklady přípravy a zabezpečení projektu</t>
  </si>
  <si>
    <t>601s</t>
  </si>
  <si>
    <t>609s</t>
  </si>
  <si>
    <t>613s</t>
  </si>
  <si>
    <t>615s</t>
  </si>
  <si>
    <t>617s</t>
  </si>
  <si>
    <t>A</t>
  </si>
  <si>
    <t>N</t>
  </si>
  <si>
    <t>54ps</t>
  </si>
  <si>
    <t>64ps</t>
  </si>
  <si>
    <t>Cílové datum dle posledního platného rozhodnutí</t>
  </si>
  <si>
    <t>FINANČNÍ VYPOŘÁDNí PROSTŘEDKŮ SR</t>
  </si>
  <si>
    <t>ŽoP 1</t>
  </si>
  <si>
    <t>Rok (v Kč)</t>
  </si>
  <si>
    <t>Výše finančních prostředků SR</t>
  </si>
  <si>
    <t>ČJ/Datum vydání</t>
  </si>
  <si>
    <t>PŘEHLED VYDANÝCH ŘÍDÍCÍCH DOKUMENTU</t>
  </si>
  <si>
    <t>PROPLACENÉ FINANČNÍ PROSTŘEDKY NA ÚČET PŘÍJEMCE</t>
  </si>
  <si>
    <t>POZNÁMKA</t>
  </si>
  <si>
    <t>Náklady celkem</t>
  </si>
  <si>
    <r>
      <t>Hodnota parametru</t>
    </r>
    <r>
      <rPr>
        <sz val="8"/>
        <rFont val="Arial"/>
        <family val="2"/>
      </rPr>
      <t xml:space="preserve"> dle posledního platného rozhodnutí</t>
    </r>
  </si>
  <si>
    <t>Přehled faktur a smluv k závěrečnému vyhodnocení akce</t>
  </si>
  <si>
    <t>Dodavatel</t>
  </si>
  <si>
    <t>Č..smlouvy</t>
  </si>
  <si>
    <t>Smluvní cena</t>
  </si>
  <si>
    <t>Číslo faktury</t>
  </si>
  <si>
    <t>Zdan.plnění</t>
  </si>
  <si>
    <t>Úhrada</t>
  </si>
  <si>
    <t>Částka</t>
  </si>
  <si>
    <t>Vlastní zdroje</t>
  </si>
  <si>
    <t>Poznámka</t>
  </si>
  <si>
    <t>113310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</si>
</sst>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yy"/>
    <numFmt numFmtId="166" formatCode="d/m/yy;@"/>
    <numFmt numFmtId="167" formatCode="###,###"/>
    <numFmt numFmtId="168" formatCode="##,#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\ _K_č"/>
    <numFmt numFmtId="173" formatCode="0.000"/>
    <numFmt numFmtId="174" formatCode="#,##0\ _K_č"/>
    <numFmt numFmtId="175" formatCode="#,###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ymbol"/>
      <family val="1"/>
    </font>
    <font>
      <sz val="8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dotted"/>
      <right style="dotted"/>
      <top style="dotted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4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4" fontId="1" fillId="0" borderId="10" xfId="39" applyFont="1" applyBorder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16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167" fontId="5" fillId="0" borderId="11" xfId="0" applyNumberFormat="1" applyFont="1" applyBorder="1" applyAlignment="1">
      <alignment/>
    </xf>
    <xf numFmtId="44" fontId="5" fillId="0" borderId="11" xfId="39" applyFont="1" applyBorder="1" applyAlignment="1">
      <alignment/>
    </xf>
    <xf numFmtId="168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4" fontId="6" fillId="0" borderId="11" xfId="39" applyFont="1" applyBorder="1" applyAlignment="1">
      <alignment/>
    </xf>
    <xf numFmtId="44" fontId="6" fillId="0" borderId="11" xfId="0" applyNumberFormat="1" applyFont="1" applyBorder="1" applyAlignment="1">
      <alignment/>
    </xf>
    <xf numFmtId="168" fontId="6" fillId="0" borderId="11" xfId="0" applyNumberFormat="1" applyFont="1" applyBorder="1" applyAlignment="1">
      <alignment horizontal="left"/>
    </xf>
    <xf numFmtId="44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44" fontId="6" fillId="0" borderId="14" xfId="0" applyNumberFormat="1" applyFont="1" applyBorder="1" applyAlignment="1">
      <alignment/>
    </xf>
    <xf numFmtId="4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44" fontId="6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44" fontId="6" fillId="0" borderId="19" xfId="0" applyNumberFormat="1" applyFont="1" applyBorder="1" applyAlignment="1">
      <alignment/>
    </xf>
    <xf numFmtId="44" fontId="6" fillId="0" borderId="20" xfId="0" applyNumberFormat="1" applyFont="1" applyBorder="1" applyAlignment="1">
      <alignment/>
    </xf>
    <xf numFmtId="10" fontId="5" fillId="0" borderId="11" xfId="49" applyNumberFormat="1" applyFont="1" applyBorder="1" applyAlignment="1">
      <alignment/>
    </xf>
    <xf numFmtId="0" fontId="1" fillId="0" borderId="21" xfId="0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4" fontId="1" fillId="0" borderId="10" xfId="39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44" fontId="10" fillId="0" borderId="10" xfId="39" applyFont="1" applyBorder="1" applyAlignment="1">
      <alignment/>
    </xf>
    <xf numFmtId="0" fontId="1" fillId="0" borderId="10" xfId="0" applyFont="1" applyFill="1" applyBorder="1" applyAlignment="1">
      <alignment/>
    </xf>
    <xf numFmtId="44" fontId="1" fillId="0" borderId="0" xfId="39" applyFont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1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/>
    </xf>
    <xf numFmtId="14" fontId="5" fillId="0" borderId="23" xfId="0" applyNumberFormat="1" applyFont="1" applyBorder="1" applyAlignment="1">
      <alignment horizontal="left"/>
    </xf>
    <xf numFmtId="172" fontId="5" fillId="0" borderId="23" xfId="0" applyNumberFormat="1" applyFon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10" fontId="5" fillId="0" borderId="24" xfId="0" applyNumberFormat="1" applyFont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/>
    </xf>
    <xf numFmtId="14" fontId="5" fillId="0" borderId="25" xfId="0" applyNumberFormat="1" applyFont="1" applyBorder="1" applyAlignment="1">
      <alignment horizontal="left"/>
    </xf>
    <xf numFmtId="172" fontId="5" fillId="0" borderId="25" xfId="0" applyNumberFormat="1" applyFont="1" applyBorder="1" applyAlignment="1">
      <alignment horizontal="center"/>
    </xf>
    <xf numFmtId="173" fontId="5" fillId="0" borderId="25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5" fillId="0" borderId="26" xfId="0" applyNumberFormat="1" applyFont="1" applyBorder="1" applyAlignment="1">
      <alignment/>
    </xf>
    <xf numFmtId="14" fontId="5" fillId="0" borderId="26" xfId="0" applyNumberFormat="1" applyFont="1" applyBorder="1" applyAlignment="1">
      <alignment horizontal="left"/>
    </xf>
    <xf numFmtId="172" fontId="5" fillId="0" borderId="26" xfId="0" applyNumberFormat="1" applyFont="1" applyBorder="1" applyAlignment="1">
      <alignment horizontal="center"/>
    </xf>
    <xf numFmtId="173" fontId="5" fillId="0" borderId="2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174" fontId="5" fillId="0" borderId="23" xfId="0" applyNumberFormat="1" applyFont="1" applyBorder="1" applyAlignment="1">
      <alignment horizontal="center"/>
    </xf>
    <xf numFmtId="174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174" fontId="5" fillId="0" borderId="26" xfId="0" applyNumberFormat="1" applyFont="1" applyBorder="1" applyAlignment="1">
      <alignment horizontal="center"/>
    </xf>
    <xf numFmtId="174" fontId="5" fillId="0" borderId="27" xfId="0" applyNumberFormat="1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1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0" xfId="3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7" fontId="5" fillId="0" borderId="11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31" xfId="0" applyFont="1" applyBorder="1" applyAlignment="1">
      <alignment vertical="center"/>
    </xf>
    <xf numFmtId="10" fontId="5" fillId="0" borderId="26" xfId="0" applyNumberFormat="1" applyFont="1" applyBorder="1" applyAlignment="1">
      <alignment horizontal="center"/>
    </xf>
    <xf numFmtId="174" fontId="5" fillId="0" borderId="3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2" fillId="2" borderId="10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/>
    </xf>
    <xf numFmtId="0" fontId="6" fillId="2" borderId="11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49" fontId="15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2" fillId="2" borderId="33" xfId="0" applyNumberFormat="1" applyFont="1" applyFill="1" applyBorder="1" applyAlignment="1">
      <alignment horizontal="center" vertical="center"/>
    </xf>
    <xf numFmtId="14" fontId="2" fillId="2" borderId="33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14" fontId="2" fillId="2" borderId="32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4" fontId="1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7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2" borderId="3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6" fillId="2" borderId="10" xfId="0" applyFont="1" applyFill="1" applyBorder="1" applyAlignment="1">
      <alignment horizontal="left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44" fontId="2" fillId="2" borderId="38" xfId="39" applyFont="1" applyFill="1" applyBorder="1" applyAlignment="1">
      <alignment vertical="center" wrapText="1"/>
    </xf>
    <xf numFmtId="0" fontId="14" fillId="2" borderId="38" xfId="0" applyFont="1" applyFill="1" applyBorder="1" applyAlignment="1">
      <alignment vertical="center" wrapText="1"/>
    </xf>
    <xf numFmtId="0" fontId="14" fillId="2" borderId="39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44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4" fontId="2" fillId="2" borderId="38" xfId="0" applyNumberFormat="1" applyFont="1" applyFill="1" applyBorder="1" applyAlignment="1">
      <alignment vertical="center"/>
    </xf>
    <xf numFmtId="174" fontId="5" fillId="0" borderId="33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2" borderId="3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74" fontId="5" fillId="0" borderId="33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14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1" fillId="2" borderId="32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view="pageLayout" workbookViewId="0" topLeftCell="A1">
      <selection activeCell="R12" sqref="R12"/>
    </sheetView>
  </sheetViews>
  <sheetFormatPr defaultColWidth="9.140625" defaultRowHeight="12.75"/>
  <cols>
    <col min="1" max="1" width="18.8515625" style="1" customWidth="1"/>
    <col min="2" max="2" width="11.57421875" style="1" customWidth="1"/>
    <col min="3" max="3" width="16.8515625" style="1" customWidth="1"/>
    <col min="4" max="5" width="5.7109375" style="1" customWidth="1"/>
    <col min="6" max="6" width="12.57421875" style="1" customWidth="1"/>
    <col min="7" max="7" width="5.7109375" style="1" customWidth="1"/>
    <col min="8" max="8" width="6.140625" style="1" customWidth="1"/>
    <col min="9" max="9" width="13.57421875" style="1" customWidth="1"/>
    <col min="10" max="10" width="11.140625" style="1" customWidth="1"/>
    <col min="11" max="11" width="14.8515625" style="1" customWidth="1"/>
    <col min="12" max="13" width="14.7109375" style="1" customWidth="1"/>
    <col min="14" max="14" width="14.140625" style="1" customWidth="1"/>
    <col min="15" max="16384" width="9.140625" style="1" customWidth="1"/>
  </cols>
  <sheetData>
    <row r="1" spans="1:14" ht="24" customHeight="1">
      <c r="A1" s="142" t="s">
        <v>139</v>
      </c>
      <c r="B1" s="142"/>
      <c r="C1" s="142"/>
      <c r="D1" s="150" t="s">
        <v>64</v>
      </c>
      <c r="E1" s="151"/>
      <c r="F1" s="108"/>
      <c r="G1" s="150" t="s">
        <v>64</v>
      </c>
      <c r="H1" s="151"/>
      <c r="I1" s="140"/>
      <c r="J1" s="109">
        <v>13310</v>
      </c>
      <c r="K1" s="110" t="s">
        <v>87</v>
      </c>
      <c r="L1" s="155" t="s">
        <v>0</v>
      </c>
      <c r="M1" s="155"/>
      <c r="N1" s="156" t="s">
        <v>148</v>
      </c>
    </row>
    <row r="2" spans="1:14" ht="19.5" customHeight="1">
      <c r="A2" s="141" t="s">
        <v>140</v>
      </c>
      <c r="B2" s="141" t="s">
        <v>141</v>
      </c>
      <c r="C2" s="141" t="s">
        <v>142</v>
      </c>
      <c r="D2" s="108" t="s">
        <v>109</v>
      </c>
      <c r="E2" s="108" t="s">
        <v>108</v>
      </c>
      <c r="F2" s="141" t="s">
        <v>143</v>
      </c>
      <c r="G2" s="108" t="s">
        <v>109</v>
      </c>
      <c r="H2" s="108" t="s">
        <v>108</v>
      </c>
      <c r="I2" s="141" t="s">
        <v>144</v>
      </c>
      <c r="J2" s="141" t="s">
        <v>145</v>
      </c>
      <c r="K2" s="141" t="s">
        <v>146</v>
      </c>
      <c r="L2" s="108" t="s">
        <v>147</v>
      </c>
      <c r="M2" s="108" t="s">
        <v>1</v>
      </c>
      <c r="N2" s="157"/>
    </row>
    <row r="3" spans="1:14" ht="11.25">
      <c r="A3" s="5"/>
      <c r="B3" s="5"/>
      <c r="C3" s="8" t="s">
        <v>84</v>
      </c>
      <c r="D3" s="93"/>
      <c r="E3" s="5" t="s">
        <v>84</v>
      </c>
      <c r="F3" s="33"/>
      <c r="G3" s="33"/>
      <c r="H3" s="5" t="s">
        <v>84</v>
      </c>
      <c r="I3" s="34"/>
      <c r="J3" s="7"/>
      <c r="K3" s="8" t="s">
        <v>84</v>
      </c>
      <c r="L3" s="35"/>
      <c r="M3" s="35"/>
      <c r="N3" s="8"/>
    </row>
    <row r="4" spans="1:14" ht="11.25" customHeight="1">
      <c r="A4" s="5"/>
      <c r="B4" s="5"/>
      <c r="C4" s="8"/>
      <c r="D4" s="93"/>
      <c r="E4" s="5" t="s">
        <v>84</v>
      </c>
      <c r="F4" s="5"/>
      <c r="G4" s="33"/>
      <c r="H4" s="5" t="s">
        <v>84</v>
      </c>
      <c r="I4" s="36"/>
      <c r="J4" s="7"/>
      <c r="K4" s="8"/>
      <c r="L4" s="8"/>
      <c r="M4" s="35"/>
      <c r="N4" s="8"/>
    </row>
    <row r="5" spans="1:14" ht="11.25" customHeight="1">
      <c r="A5" s="5"/>
      <c r="B5" s="45"/>
      <c r="C5" s="8"/>
      <c r="D5" s="93"/>
      <c r="E5" s="5" t="s">
        <v>84</v>
      </c>
      <c r="F5" s="5"/>
      <c r="G5" s="33"/>
      <c r="H5" s="5" t="s">
        <v>84</v>
      </c>
      <c r="I5" s="7"/>
      <c r="J5" s="7"/>
      <c r="K5" s="8"/>
      <c r="L5" s="8"/>
      <c r="M5" s="8"/>
      <c r="N5" s="8"/>
    </row>
    <row r="6" spans="1:14" ht="11.25" customHeight="1">
      <c r="A6" s="5"/>
      <c r="B6" s="45"/>
      <c r="C6" s="8"/>
      <c r="D6" s="93"/>
      <c r="E6" s="5" t="s">
        <v>84</v>
      </c>
      <c r="F6" s="5"/>
      <c r="G6" s="33"/>
      <c r="H6" s="5" t="s">
        <v>84</v>
      </c>
      <c r="I6" s="7"/>
      <c r="J6" s="7"/>
      <c r="K6" s="8"/>
      <c r="L6" s="8"/>
      <c r="M6" s="8"/>
      <c r="N6" s="8"/>
    </row>
    <row r="7" spans="1:14" ht="11.25" customHeight="1">
      <c r="A7" s="5"/>
      <c r="B7" s="37"/>
      <c r="C7" s="38"/>
      <c r="D7" s="93"/>
      <c r="E7" s="5" t="s">
        <v>84</v>
      </c>
      <c r="F7" s="5"/>
      <c r="G7" s="33"/>
      <c r="H7" s="5" t="s">
        <v>84</v>
      </c>
      <c r="I7" s="7"/>
      <c r="J7" s="7"/>
      <c r="K7" s="8"/>
      <c r="L7" s="8"/>
      <c r="M7" s="8"/>
      <c r="N7" s="8"/>
    </row>
    <row r="8" spans="1:14" ht="11.25" customHeight="1">
      <c r="A8" s="5"/>
      <c r="B8" s="37"/>
      <c r="C8" s="8"/>
      <c r="D8" s="93"/>
      <c r="E8" s="5" t="s">
        <v>84</v>
      </c>
      <c r="F8" s="5"/>
      <c r="G8" s="33"/>
      <c r="H8" s="5" t="s">
        <v>84</v>
      </c>
      <c r="I8" s="7"/>
      <c r="J8" s="7"/>
      <c r="K8" s="8"/>
      <c r="L8" s="8"/>
      <c r="M8" s="8"/>
      <c r="N8" s="8"/>
    </row>
    <row r="9" spans="1:14" ht="11.25" customHeight="1">
      <c r="A9" s="5"/>
      <c r="B9" s="37"/>
      <c r="C9" s="8"/>
      <c r="D9" s="93"/>
      <c r="E9" s="5" t="s">
        <v>84</v>
      </c>
      <c r="F9" s="5"/>
      <c r="G9" s="33"/>
      <c r="H9" s="5" t="s">
        <v>84</v>
      </c>
      <c r="I9" s="7"/>
      <c r="J9" s="7"/>
      <c r="K9" s="8"/>
      <c r="L9" s="8"/>
      <c r="M9" s="8"/>
      <c r="N9" s="8"/>
    </row>
    <row r="10" spans="1:14" ht="11.25" customHeight="1">
      <c r="A10" s="5"/>
      <c r="B10" s="5"/>
      <c r="C10" s="8"/>
      <c r="D10" s="93"/>
      <c r="E10" s="5" t="s">
        <v>84</v>
      </c>
      <c r="F10" s="5"/>
      <c r="G10" s="33"/>
      <c r="H10" s="5" t="s">
        <v>84</v>
      </c>
      <c r="I10" s="7"/>
      <c r="J10" s="7"/>
      <c r="K10" s="8"/>
      <c r="L10" s="8"/>
      <c r="M10" s="8"/>
      <c r="N10" s="8"/>
    </row>
    <row r="11" spans="1:14" ht="11.25" customHeight="1">
      <c r="A11" s="5"/>
      <c r="B11" s="39"/>
      <c r="C11" s="35"/>
      <c r="D11" s="93"/>
      <c r="E11" s="5" t="s">
        <v>84</v>
      </c>
      <c r="F11" s="5"/>
      <c r="G11" s="33"/>
      <c r="H11" s="5" t="s">
        <v>84</v>
      </c>
      <c r="I11" s="7"/>
      <c r="J11" s="7"/>
      <c r="K11" s="8"/>
      <c r="L11" s="8"/>
      <c r="M11" s="8"/>
      <c r="N11" s="8"/>
    </row>
    <row r="12" spans="1:14" ht="11.25" customHeight="1">
      <c r="A12" s="5"/>
      <c r="B12" s="5"/>
      <c r="C12" s="8"/>
      <c r="D12" s="93"/>
      <c r="E12" s="5" t="s">
        <v>84</v>
      </c>
      <c r="F12" s="5"/>
      <c r="G12" s="33"/>
      <c r="H12" s="5" t="s">
        <v>84</v>
      </c>
      <c r="I12" s="7"/>
      <c r="J12" s="7"/>
      <c r="K12" s="8"/>
      <c r="L12" s="40"/>
      <c r="M12" s="8"/>
      <c r="N12" s="8"/>
    </row>
    <row r="13" spans="1:14" ht="11.25" customHeight="1">
      <c r="A13" s="5"/>
      <c r="B13" s="5"/>
      <c r="C13" s="8"/>
      <c r="D13" s="93"/>
      <c r="E13" s="5" t="s">
        <v>84</v>
      </c>
      <c r="F13" s="5"/>
      <c r="G13" s="33"/>
      <c r="H13" s="5" t="s">
        <v>84</v>
      </c>
      <c r="I13" s="7"/>
      <c r="J13" s="7"/>
      <c r="K13" s="8"/>
      <c r="L13" s="8"/>
      <c r="M13" s="8"/>
      <c r="N13" s="8"/>
    </row>
    <row r="14" spans="1:14" ht="11.25" customHeight="1">
      <c r="A14" s="5"/>
      <c r="B14" s="5"/>
      <c r="C14" s="8"/>
      <c r="D14" s="93"/>
      <c r="E14" s="5" t="s">
        <v>84</v>
      </c>
      <c r="F14" s="5"/>
      <c r="G14" s="33"/>
      <c r="H14" s="5" t="s">
        <v>84</v>
      </c>
      <c r="I14" s="7"/>
      <c r="J14" s="7"/>
      <c r="K14" s="8"/>
      <c r="L14" s="8"/>
      <c r="M14" s="8"/>
      <c r="N14" s="8"/>
    </row>
    <row r="15" spans="1:14" ht="11.25" customHeight="1">
      <c r="A15" s="5"/>
      <c r="B15" s="5"/>
      <c r="C15" s="8"/>
      <c r="D15" s="93"/>
      <c r="E15" s="5" t="s">
        <v>84</v>
      </c>
      <c r="F15" s="5"/>
      <c r="G15" s="33"/>
      <c r="H15" s="5" t="s">
        <v>84</v>
      </c>
      <c r="I15" s="7"/>
      <c r="J15" s="7"/>
      <c r="K15" s="8"/>
      <c r="L15" s="8"/>
      <c r="M15" s="8"/>
      <c r="N15" s="8"/>
    </row>
    <row r="16" spans="1:14" ht="11.25" customHeight="1">
      <c r="A16" s="5"/>
      <c r="B16" s="5"/>
      <c r="C16" s="8"/>
      <c r="D16" s="93"/>
      <c r="E16" s="5" t="s">
        <v>84</v>
      </c>
      <c r="F16" s="5"/>
      <c r="G16" s="33"/>
      <c r="H16" s="5" t="s">
        <v>84</v>
      </c>
      <c r="I16" s="7"/>
      <c r="J16" s="7"/>
      <c r="K16" s="8"/>
      <c r="L16" s="8"/>
      <c r="M16" s="8"/>
      <c r="N16" s="8"/>
    </row>
    <row r="17" spans="1:14" ht="11.25" customHeight="1">
      <c r="A17" s="5"/>
      <c r="B17" s="5"/>
      <c r="C17" s="8"/>
      <c r="D17" s="93"/>
      <c r="E17" s="5" t="s">
        <v>84</v>
      </c>
      <c r="F17" s="5"/>
      <c r="G17" s="33"/>
      <c r="H17" s="5" t="s">
        <v>84</v>
      </c>
      <c r="I17" s="7"/>
      <c r="J17" s="7"/>
      <c r="K17" s="8"/>
      <c r="L17" s="8"/>
      <c r="M17" s="8"/>
      <c r="N17" s="8"/>
    </row>
    <row r="18" spans="1:14" ht="11.25" customHeight="1">
      <c r="A18" s="5"/>
      <c r="B18" s="5"/>
      <c r="C18" s="8"/>
      <c r="D18" s="93"/>
      <c r="E18" s="5" t="s">
        <v>84</v>
      </c>
      <c r="F18" s="5"/>
      <c r="G18" s="33"/>
      <c r="H18" s="5" t="s">
        <v>84</v>
      </c>
      <c r="I18" s="7"/>
      <c r="J18" s="7"/>
      <c r="K18" s="8"/>
      <c r="L18" s="8"/>
      <c r="M18" s="8"/>
      <c r="N18" s="8"/>
    </row>
    <row r="19" spans="1:14" s="4" customFormat="1" ht="11.25" customHeight="1">
      <c r="A19" s="5"/>
      <c r="B19" s="5"/>
      <c r="C19" s="8"/>
      <c r="D19" s="93"/>
      <c r="E19" s="5" t="s">
        <v>84</v>
      </c>
      <c r="F19" s="5"/>
      <c r="G19" s="33"/>
      <c r="H19" s="5" t="s">
        <v>84</v>
      </c>
      <c r="I19" s="8"/>
      <c r="J19" s="7"/>
      <c r="K19" s="8"/>
      <c r="L19" s="8"/>
      <c r="M19" s="8"/>
      <c r="N19" s="8"/>
    </row>
    <row r="20" spans="1:14" ht="11.25">
      <c r="A20" s="41"/>
      <c r="B20" s="39"/>
      <c r="C20" s="35"/>
      <c r="D20" s="93"/>
      <c r="E20" s="5" t="s">
        <v>84</v>
      </c>
      <c r="F20" s="5"/>
      <c r="G20" s="33"/>
      <c r="H20" s="5" t="s">
        <v>84</v>
      </c>
      <c r="I20" s="7"/>
      <c r="J20" s="7"/>
      <c r="K20" s="8"/>
      <c r="L20" s="8"/>
      <c r="M20" s="8"/>
      <c r="N20" s="8"/>
    </row>
    <row r="21" spans="1:14" ht="12.75">
      <c r="A21" s="42"/>
      <c r="B21" s="5"/>
      <c r="C21" s="8"/>
      <c r="D21" s="93"/>
      <c r="E21" s="5" t="s">
        <v>84</v>
      </c>
      <c r="F21" s="5"/>
      <c r="G21" s="33"/>
      <c r="H21" s="5" t="s">
        <v>84</v>
      </c>
      <c r="I21" s="7"/>
      <c r="J21" s="7"/>
      <c r="K21" s="8"/>
      <c r="L21" s="8"/>
      <c r="M21" s="8"/>
      <c r="N21" s="8"/>
    </row>
    <row r="22" spans="1:14" ht="11.25">
      <c r="A22" s="41"/>
      <c r="B22" s="39"/>
      <c r="C22" s="35"/>
      <c r="D22" s="93"/>
      <c r="E22" s="5" t="s">
        <v>84</v>
      </c>
      <c r="F22" s="5"/>
      <c r="G22" s="33"/>
      <c r="H22" s="5" t="s">
        <v>84</v>
      </c>
      <c r="I22" s="7"/>
      <c r="J22" s="7"/>
      <c r="K22" s="8"/>
      <c r="L22" s="8"/>
      <c r="M22" s="8"/>
      <c r="N22" s="8"/>
    </row>
    <row r="23" spans="1:14" s="4" customFormat="1" ht="11.25">
      <c r="A23" s="5"/>
      <c r="B23" s="5"/>
      <c r="C23" s="8"/>
      <c r="D23" s="93"/>
      <c r="E23" s="5" t="s">
        <v>84</v>
      </c>
      <c r="F23" s="5"/>
      <c r="G23" s="33"/>
      <c r="H23" s="5" t="s">
        <v>84</v>
      </c>
      <c r="I23" s="7"/>
      <c r="J23" s="7"/>
      <c r="K23" s="8"/>
      <c r="L23" s="8"/>
      <c r="M23" s="8"/>
      <c r="N23" s="8"/>
    </row>
    <row r="24" spans="1:14" ht="11.25">
      <c r="A24" s="43"/>
      <c r="B24" s="5"/>
      <c r="C24" s="8"/>
      <c r="D24" s="93"/>
      <c r="E24" s="5" t="s">
        <v>84</v>
      </c>
      <c r="F24" s="5"/>
      <c r="G24" s="33"/>
      <c r="H24" s="5" t="s">
        <v>84</v>
      </c>
      <c r="I24" s="7"/>
      <c r="J24" s="7"/>
      <c r="K24" s="6"/>
      <c r="L24" s="8"/>
      <c r="M24" s="8"/>
      <c r="N24" s="8"/>
    </row>
    <row r="25" spans="1:14" ht="11.25">
      <c r="A25" s="5"/>
      <c r="B25" s="5"/>
      <c r="C25" s="8"/>
      <c r="D25" s="93"/>
      <c r="E25" s="5" t="s">
        <v>84</v>
      </c>
      <c r="F25" s="5"/>
      <c r="G25" s="33"/>
      <c r="H25" s="5" t="s">
        <v>84</v>
      </c>
      <c r="I25" s="7"/>
      <c r="J25" s="7"/>
      <c r="K25" s="8"/>
      <c r="L25" s="8"/>
      <c r="M25" s="8"/>
      <c r="N25" s="8"/>
    </row>
    <row r="26" spans="1:14" s="4" customFormat="1" ht="11.25">
      <c r="A26" s="5"/>
      <c r="B26" s="5"/>
      <c r="C26" s="6"/>
      <c r="D26" s="93"/>
      <c r="E26" s="5" t="s">
        <v>84</v>
      </c>
      <c r="F26" s="5"/>
      <c r="G26" s="33"/>
      <c r="H26" s="5" t="s">
        <v>84</v>
      </c>
      <c r="I26" s="7"/>
      <c r="J26" s="7"/>
      <c r="K26" s="6"/>
      <c r="L26" s="8"/>
      <c r="M26" s="8"/>
      <c r="N26" s="8"/>
    </row>
    <row r="27" spans="1:14" ht="11.25">
      <c r="A27" s="44"/>
      <c r="B27" s="5"/>
      <c r="C27" s="8"/>
      <c r="D27" s="93"/>
      <c r="E27" s="5" t="s">
        <v>84</v>
      </c>
      <c r="F27" s="5"/>
      <c r="G27" s="33"/>
      <c r="H27" s="5" t="s">
        <v>84</v>
      </c>
      <c r="I27" s="7"/>
      <c r="J27" s="7"/>
      <c r="K27" s="8"/>
      <c r="L27" s="8"/>
      <c r="M27" s="8"/>
      <c r="N27" s="8"/>
    </row>
    <row r="28" spans="1:14" s="4" customFormat="1" ht="12.75">
      <c r="A28" s="42"/>
      <c r="B28" s="5"/>
      <c r="C28" s="6"/>
      <c r="D28" s="93"/>
      <c r="E28" s="5" t="s">
        <v>84</v>
      </c>
      <c r="F28" s="5"/>
      <c r="G28" s="33"/>
      <c r="H28" s="5" t="s">
        <v>84</v>
      </c>
      <c r="I28" s="7"/>
      <c r="J28" s="7"/>
      <c r="K28" s="8"/>
      <c r="L28" s="8"/>
      <c r="M28" s="8"/>
      <c r="N28" s="8"/>
    </row>
    <row r="29" spans="1:14" ht="11.25">
      <c r="A29" s="43"/>
      <c r="B29" s="5"/>
      <c r="C29" s="8"/>
      <c r="D29" s="93"/>
      <c r="E29" s="5" t="s">
        <v>84</v>
      </c>
      <c r="F29" s="5"/>
      <c r="G29" s="33"/>
      <c r="H29" s="5" t="s">
        <v>84</v>
      </c>
      <c r="I29" s="7"/>
      <c r="J29" s="7"/>
      <c r="K29" s="8"/>
      <c r="L29" s="8"/>
      <c r="M29" s="8"/>
      <c r="N29" s="8"/>
    </row>
    <row r="30" spans="1:14" s="4" customFormat="1" ht="12.75">
      <c r="A30" s="42"/>
      <c r="B30" s="5"/>
      <c r="C30" s="6"/>
      <c r="D30" s="93"/>
      <c r="E30" s="5" t="s">
        <v>84</v>
      </c>
      <c r="F30" s="5"/>
      <c r="G30" s="33"/>
      <c r="H30" s="5" t="s">
        <v>84</v>
      </c>
      <c r="I30" s="7"/>
      <c r="J30" s="7"/>
      <c r="K30" s="8"/>
      <c r="L30" s="8"/>
      <c r="M30" s="8"/>
      <c r="N30" s="8"/>
    </row>
    <row r="31" spans="1:14" ht="11.25">
      <c r="A31" s="43"/>
      <c r="B31" s="5"/>
      <c r="C31" s="8"/>
      <c r="D31" s="93"/>
      <c r="E31" s="5" t="s">
        <v>84</v>
      </c>
      <c r="F31" s="5"/>
      <c r="G31" s="33"/>
      <c r="H31" s="5" t="s">
        <v>84</v>
      </c>
      <c r="I31" s="7"/>
      <c r="J31" s="7"/>
      <c r="K31" s="8"/>
      <c r="L31" s="8"/>
      <c r="M31" s="8"/>
      <c r="N31" s="8"/>
    </row>
    <row r="32" spans="1:14" ht="11.25">
      <c r="A32" s="43"/>
      <c r="B32" s="5"/>
      <c r="C32" s="6"/>
      <c r="D32" s="93"/>
      <c r="E32" s="5" t="s">
        <v>84</v>
      </c>
      <c r="F32" s="5"/>
      <c r="G32" s="33"/>
      <c r="H32" s="5" t="s">
        <v>84</v>
      </c>
      <c r="I32" s="7"/>
      <c r="J32" s="7"/>
      <c r="K32" s="6"/>
      <c r="L32" s="8"/>
      <c r="M32" s="8"/>
      <c r="N32" s="8"/>
    </row>
    <row r="33" spans="1:14" ht="11.25">
      <c r="A33" s="43"/>
      <c r="B33" s="5"/>
      <c r="C33" s="6"/>
      <c r="D33" s="93"/>
      <c r="E33" s="5" t="s">
        <v>84</v>
      </c>
      <c r="F33" s="5"/>
      <c r="G33" s="33"/>
      <c r="H33" s="5" t="s">
        <v>84</v>
      </c>
      <c r="I33" s="7"/>
      <c r="J33" s="7"/>
      <c r="K33" s="6"/>
      <c r="L33" s="8"/>
      <c r="M33" s="8"/>
      <c r="N33" s="8"/>
    </row>
    <row r="34" spans="1:14" ht="11.25">
      <c r="A34" s="43"/>
      <c r="B34" s="5"/>
      <c r="C34" s="6"/>
      <c r="D34" s="93"/>
      <c r="E34" s="5" t="s">
        <v>84</v>
      </c>
      <c r="F34" s="5"/>
      <c r="G34" s="33"/>
      <c r="H34" s="5" t="s">
        <v>84</v>
      </c>
      <c r="I34" s="7"/>
      <c r="J34" s="7"/>
      <c r="K34" s="6"/>
      <c r="L34" s="8"/>
      <c r="M34" s="8"/>
      <c r="N34" s="8"/>
    </row>
    <row r="35" spans="1:14" ht="11.25">
      <c r="A35" s="43"/>
      <c r="B35" s="5"/>
      <c r="C35" s="6"/>
      <c r="D35" s="93"/>
      <c r="E35" s="5" t="s">
        <v>84</v>
      </c>
      <c r="F35" s="5"/>
      <c r="G35" s="33"/>
      <c r="H35" s="5" t="s">
        <v>84</v>
      </c>
      <c r="I35" s="7"/>
      <c r="J35" s="7"/>
      <c r="K35" s="6"/>
      <c r="L35" s="8"/>
      <c r="M35" s="8"/>
      <c r="N35" s="8"/>
    </row>
    <row r="36" spans="1:14" ht="11.25">
      <c r="A36" s="43"/>
      <c r="B36" s="5"/>
      <c r="C36" s="6"/>
      <c r="D36" s="93"/>
      <c r="E36" s="5" t="s">
        <v>84</v>
      </c>
      <c r="F36" s="5"/>
      <c r="G36" s="33"/>
      <c r="H36" s="5" t="s">
        <v>84</v>
      </c>
      <c r="I36" s="7"/>
      <c r="J36" s="7"/>
      <c r="K36" s="6"/>
      <c r="L36" s="8"/>
      <c r="M36" s="8"/>
      <c r="N36" s="8"/>
    </row>
    <row r="37" spans="1:14" ht="11.25">
      <c r="A37" s="43"/>
      <c r="B37" s="5"/>
      <c r="C37" s="6"/>
      <c r="D37" s="93"/>
      <c r="E37" s="5" t="s">
        <v>84</v>
      </c>
      <c r="F37" s="5"/>
      <c r="G37" s="33"/>
      <c r="H37" s="5" t="s">
        <v>84</v>
      </c>
      <c r="I37" s="7"/>
      <c r="J37" s="7"/>
      <c r="K37" s="6"/>
      <c r="L37" s="8"/>
      <c r="M37" s="8"/>
      <c r="N37" s="8"/>
    </row>
    <row r="38" spans="1:14" ht="11.25">
      <c r="A38" s="43"/>
      <c r="B38" s="5"/>
      <c r="C38" s="6"/>
      <c r="D38" s="93"/>
      <c r="E38" s="5" t="s">
        <v>84</v>
      </c>
      <c r="F38" s="5"/>
      <c r="G38" s="33"/>
      <c r="H38" s="5" t="s">
        <v>84</v>
      </c>
      <c r="I38" s="7"/>
      <c r="J38" s="7"/>
      <c r="K38" s="6"/>
      <c r="L38" s="8"/>
      <c r="M38" s="8"/>
      <c r="N38" s="8"/>
    </row>
    <row r="39" spans="1:14" ht="11.25">
      <c r="A39" s="43"/>
      <c r="B39" s="5"/>
      <c r="C39" s="6"/>
      <c r="D39" s="93"/>
      <c r="E39" s="5" t="s">
        <v>84</v>
      </c>
      <c r="F39" s="5"/>
      <c r="G39" s="33"/>
      <c r="H39" s="5" t="s">
        <v>84</v>
      </c>
      <c r="I39" s="7"/>
      <c r="J39" s="7"/>
      <c r="K39" s="6"/>
      <c r="L39" s="8"/>
      <c r="M39" s="8"/>
      <c r="N39" s="8"/>
    </row>
    <row r="40" spans="1:14" ht="11.25">
      <c r="A40" s="5"/>
      <c r="B40" s="5"/>
      <c r="C40" s="6"/>
      <c r="D40" s="93"/>
      <c r="E40" s="5" t="s">
        <v>84</v>
      </c>
      <c r="F40" s="5"/>
      <c r="G40" s="33"/>
      <c r="H40" s="5" t="s">
        <v>84</v>
      </c>
      <c r="I40" s="7"/>
      <c r="J40" s="7"/>
      <c r="K40" s="6"/>
      <c r="L40" s="8"/>
      <c r="M40" s="8"/>
      <c r="N40" s="8"/>
    </row>
    <row r="41" spans="1:14" ht="11.25">
      <c r="A41" s="5"/>
      <c r="B41" s="5"/>
      <c r="C41" s="6"/>
      <c r="D41" s="93"/>
      <c r="E41" s="5" t="s">
        <v>84</v>
      </c>
      <c r="F41" s="5"/>
      <c r="G41" s="33"/>
      <c r="H41" s="5" t="s">
        <v>84</v>
      </c>
      <c r="I41" s="7"/>
      <c r="J41" s="7"/>
      <c r="K41" s="6"/>
      <c r="L41" s="8"/>
      <c r="M41" s="8"/>
      <c r="N41" s="8"/>
    </row>
    <row r="42" spans="1:14" ht="11.25">
      <c r="A42" s="5"/>
      <c r="B42" s="5"/>
      <c r="C42" s="6"/>
      <c r="D42" s="93"/>
      <c r="E42" s="5" t="s">
        <v>84</v>
      </c>
      <c r="F42" s="5"/>
      <c r="G42" s="33"/>
      <c r="H42" s="5" t="s">
        <v>84</v>
      </c>
      <c r="I42" s="7"/>
      <c r="J42" s="7"/>
      <c r="K42" s="6"/>
      <c r="L42" s="8"/>
      <c r="M42" s="8"/>
      <c r="N42" s="8"/>
    </row>
    <row r="43" spans="1:14" ht="11.25">
      <c r="A43" s="5"/>
      <c r="B43" s="5"/>
      <c r="C43" s="6"/>
      <c r="D43" s="93"/>
      <c r="E43" s="5" t="s">
        <v>84</v>
      </c>
      <c r="F43" s="5"/>
      <c r="G43" s="33"/>
      <c r="H43" s="5" t="s">
        <v>84</v>
      </c>
      <c r="I43" s="7"/>
      <c r="J43" s="7"/>
      <c r="K43" s="6"/>
      <c r="L43" s="8"/>
      <c r="M43" s="8"/>
      <c r="N43" s="8"/>
    </row>
    <row r="44" spans="1:14" ht="11.25">
      <c r="A44" s="5"/>
      <c r="B44" s="5"/>
      <c r="C44" s="6"/>
      <c r="D44" s="93"/>
      <c r="E44" s="5" t="s">
        <v>84</v>
      </c>
      <c r="F44" s="5"/>
      <c r="G44" s="33"/>
      <c r="H44" s="5" t="s">
        <v>84</v>
      </c>
      <c r="I44" s="7"/>
      <c r="J44" s="7"/>
      <c r="K44" s="6"/>
      <c r="L44" s="8"/>
      <c r="M44" s="8"/>
      <c r="N44" s="8"/>
    </row>
    <row r="45" spans="1:14" ht="11.25">
      <c r="A45" s="5"/>
      <c r="B45" s="5"/>
      <c r="C45" s="6"/>
      <c r="D45" s="93"/>
      <c r="E45" s="5" t="s">
        <v>84</v>
      </c>
      <c r="F45" s="5"/>
      <c r="G45" s="33"/>
      <c r="H45" s="5" t="s">
        <v>84</v>
      </c>
      <c r="I45" s="7"/>
      <c r="J45" s="7"/>
      <c r="K45" s="6"/>
      <c r="L45" s="8"/>
      <c r="M45" s="8"/>
      <c r="N45" s="8"/>
    </row>
    <row r="46" spans="1:14" ht="11.25">
      <c r="A46" s="5"/>
      <c r="B46" s="5"/>
      <c r="C46" s="6"/>
      <c r="D46" s="93"/>
      <c r="E46" s="5" t="s">
        <v>84</v>
      </c>
      <c r="F46" s="5"/>
      <c r="G46" s="33"/>
      <c r="H46" s="5" t="s">
        <v>84</v>
      </c>
      <c r="I46" s="7"/>
      <c r="J46" s="7"/>
      <c r="K46" s="6"/>
      <c r="L46" s="8"/>
      <c r="M46" s="8"/>
      <c r="N46" s="8"/>
    </row>
    <row r="47" spans="1:14" ht="11.25">
      <c r="A47" s="5"/>
      <c r="B47" s="5"/>
      <c r="C47" s="6"/>
      <c r="D47" s="93"/>
      <c r="E47" s="5" t="s">
        <v>84</v>
      </c>
      <c r="F47" s="5"/>
      <c r="G47" s="33"/>
      <c r="H47" s="5" t="s">
        <v>84</v>
      </c>
      <c r="I47" s="7"/>
      <c r="J47" s="7"/>
      <c r="K47" s="6"/>
      <c r="L47" s="8"/>
      <c r="M47" s="8"/>
      <c r="N47" s="8"/>
    </row>
    <row r="48" spans="1:14" ht="11.25">
      <c r="A48" s="5"/>
      <c r="B48" s="5"/>
      <c r="C48" s="6"/>
      <c r="D48" s="93"/>
      <c r="E48" s="5" t="s">
        <v>84</v>
      </c>
      <c r="F48" s="5"/>
      <c r="G48" s="33"/>
      <c r="H48" s="5" t="s">
        <v>84</v>
      </c>
      <c r="I48" s="7"/>
      <c r="J48" s="7"/>
      <c r="K48" s="6"/>
      <c r="L48" s="8"/>
      <c r="M48" s="8"/>
      <c r="N48" s="8"/>
    </row>
    <row r="49" spans="1:14" ht="11.25">
      <c r="A49" s="5"/>
      <c r="B49" s="5"/>
      <c r="C49" s="6"/>
      <c r="D49" s="93"/>
      <c r="E49" s="5" t="s">
        <v>84</v>
      </c>
      <c r="F49" s="5"/>
      <c r="G49" s="33"/>
      <c r="H49" s="5" t="s">
        <v>84</v>
      </c>
      <c r="I49" s="7"/>
      <c r="J49" s="7"/>
      <c r="K49" s="6"/>
      <c r="L49" s="8"/>
      <c r="M49" s="8"/>
      <c r="N49" s="8"/>
    </row>
    <row r="50" spans="1:14" ht="11.25">
      <c r="A50" s="5"/>
      <c r="B50" s="5"/>
      <c r="C50" s="6"/>
      <c r="D50" s="93"/>
      <c r="E50" s="5" t="s">
        <v>84</v>
      </c>
      <c r="F50" s="5"/>
      <c r="G50" s="33"/>
      <c r="H50" s="5" t="s">
        <v>84</v>
      </c>
      <c r="I50" s="7"/>
      <c r="J50" s="7"/>
      <c r="K50" s="6"/>
      <c r="L50" s="8"/>
      <c r="M50" s="8"/>
      <c r="N50" s="8"/>
    </row>
    <row r="51" spans="1:14" ht="11.25">
      <c r="A51" s="5"/>
      <c r="B51" s="5"/>
      <c r="C51" s="6"/>
      <c r="D51" s="93"/>
      <c r="E51" s="5" t="s">
        <v>84</v>
      </c>
      <c r="F51" s="5"/>
      <c r="G51" s="33"/>
      <c r="H51" s="5" t="s">
        <v>84</v>
      </c>
      <c r="I51" s="7"/>
      <c r="J51" s="7"/>
      <c r="K51" s="6"/>
      <c r="L51" s="8"/>
      <c r="M51" s="8"/>
      <c r="N51" s="8"/>
    </row>
    <row r="52" spans="1:14" ht="11.25">
      <c r="A52" s="5"/>
      <c r="B52" s="5"/>
      <c r="C52" s="6"/>
      <c r="D52" s="93"/>
      <c r="E52" s="5" t="s">
        <v>84</v>
      </c>
      <c r="F52" s="5"/>
      <c r="G52" s="33"/>
      <c r="H52" s="5" t="s">
        <v>84</v>
      </c>
      <c r="I52" s="7"/>
      <c r="J52" s="7"/>
      <c r="K52" s="6"/>
      <c r="L52" s="8"/>
      <c r="M52" s="8"/>
      <c r="N52" s="8"/>
    </row>
    <row r="53" spans="1:14" ht="11.25">
      <c r="A53" s="5"/>
      <c r="B53" s="5"/>
      <c r="C53" s="6"/>
      <c r="D53" s="93"/>
      <c r="E53" s="5" t="s">
        <v>84</v>
      </c>
      <c r="F53" s="5"/>
      <c r="G53" s="33"/>
      <c r="H53" s="5" t="s">
        <v>84</v>
      </c>
      <c r="I53" s="7"/>
      <c r="J53" s="7"/>
      <c r="K53" s="6"/>
      <c r="L53" s="8"/>
      <c r="M53" s="8"/>
      <c r="N53" s="8"/>
    </row>
    <row r="54" spans="1:14" ht="11.25">
      <c r="A54" s="5"/>
      <c r="B54" s="5"/>
      <c r="C54" s="6"/>
      <c r="D54" s="93"/>
      <c r="E54" s="5" t="s">
        <v>84</v>
      </c>
      <c r="F54" s="5"/>
      <c r="G54" s="33"/>
      <c r="H54" s="5" t="s">
        <v>84</v>
      </c>
      <c r="I54" s="7"/>
      <c r="J54" s="7"/>
      <c r="K54" s="6"/>
      <c r="L54" s="8"/>
      <c r="M54" s="8"/>
      <c r="N54" s="8"/>
    </row>
    <row r="55" spans="1:14" ht="11.25">
      <c r="A55" s="5"/>
      <c r="B55" s="5"/>
      <c r="C55" s="6"/>
      <c r="D55" s="93"/>
      <c r="E55" s="5" t="s">
        <v>84</v>
      </c>
      <c r="F55" s="5"/>
      <c r="G55" s="33"/>
      <c r="H55" s="5" t="s">
        <v>84</v>
      </c>
      <c r="I55" s="7"/>
      <c r="J55" s="7"/>
      <c r="K55" s="6"/>
      <c r="L55" s="8"/>
      <c r="M55" s="8"/>
      <c r="N55" s="8"/>
    </row>
    <row r="56" spans="1:14" ht="11.25">
      <c r="A56" s="5"/>
      <c r="B56" s="5"/>
      <c r="C56" s="6"/>
      <c r="D56" s="93"/>
      <c r="E56" s="5" t="s">
        <v>84</v>
      </c>
      <c r="F56" s="5"/>
      <c r="G56" s="33"/>
      <c r="H56" s="5" t="s">
        <v>84</v>
      </c>
      <c r="I56" s="7"/>
      <c r="J56" s="7"/>
      <c r="K56" s="6"/>
      <c r="L56" s="8"/>
      <c r="M56" s="8"/>
      <c r="N56" s="8"/>
    </row>
    <row r="57" spans="1:14" ht="11.25">
      <c r="A57" s="5"/>
      <c r="B57" s="5"/>
      <c r="C57" s="6"/>
      <c r="D57" s="93"/>
      <c r="E57" s="5" t="s">
        <v>84</v>
      </c>
      <c r="F57" s="5"/>
      <c r="G57" s="33"/>
      <c r="H57" s="5" t="s">
        <v>84</v>
      </c>
      <c r="I57" s="7"/>
      <c r="J57" s="7"/>
      <c r="K57" s="6"/>
      <c r="L57" s="8"/>
      <c r="M57" s="8"/>
      <c r="N57" s="8"/>
    </row>
    <row r="58" spans="1:14" ht="11.25">
      <c r="A58" s="5"/>
      <c r="B58" s="5"/>
      <c r="C58" s="6"/>
      <c r="D58" s="93"/>
      <c r="E58" s="5" t="s">
        <v>84</v>
      </c>
      <c r="F58" s="5"/>
      <c r="G58" s="33"/>
      <c r="H58" s="5" t="s">
        <v>84</v>
      </c>
      <c r="I58" s="7"/>
      <c r="J58" s="7"/>
      <c r="K58" s="6"/>
      <c r="L58" s="8"/>
      <c r="M58" s="8"/>
      <c r="N58" s="8"/>
    </row>
    <row r="59" spans="1:14" ht="11.25">
      <c r="A59" s="5"/>
      <c r="B59" s="5"/>
      <c r="C59" s="6"/>
      <c r="D59" s="93"/>
      <c r="E59" s="5" t="s">
        <v>84</v>
      </c>
      <c r="F59" s="5"/>
      <c r="G59" s="33"/>
      <c r="H59" s="5" t="s">
        <v>84</v>
      </c>
      <c r="I59" s="7"/>
      <c r="J59" s="7"/>
      <c r="K59" s="6"/>
      <c r="L59" s="8"/>
      <c r="M59" s="8"/>
      <c r="N59" s="8"/>
    </row>
    <row r="60" spans="1:14" ht="11.25">
      <c r="A60" s="5"/>
      <c r="B60" s="5"/>
      <c r="C60" s="6"/>
      <c r="D60" s="93"/>
      <c r="E60" s="5" t="s">
        <v>84</v>
      </c>
      <c r="F60" s="5"/>
      <c r="G60" s="33"/>
      <c r="H60" s="5" t="s">
        <v>84</v>
      </c>
      <c r="I60" s="7"/>
      <c r="J60" s="7"/>
      <c r="K60" s="6"/>
      <c r="L60" s="8"/>
      <c r="M60" s="8"/>
      <c r="N60" s="8"/>
    </row>
    <row r="61" spans="1:14" ht="11.25">
      <c r="A61" s="5"/>
      <c r="B61" s="5"/>
      <c r="C61" s="6"/>
      <c r="D61" s="93"/>
      <c r="E61" s="5" t="s">
        <v>84</v>
      </c>
      <c r="F61" s="5"/>
      <c r="G61" s="33"/>
      <c r="H61" s="5" t="s">
        <v>84</v>
      </c>
      <c r="I61" s="7"/>
      <c r="J61" s="7"/>
      <c r="K61" s="6"/>
      <c r="L61" s="8"/>
      <c r="M61" s="8"/>
      <c r="N61" s="8"/>
    </row>
    <row r="62" spans="1:14" ht="11.25">
      <c r="A62" s="5"/>
      <c r="B62" s="5"/>
      <c r="C62" s="6"/>
      <c r="D62" s="93"/>
      <c r="E62" s="5" t="s">
        <v>84</v>
      </c>
      <c r="F62" s="5"/>
      <c r="G62" s="33"/>
      <c r="H62" s="5" t="s">
        <v>84</v>
      </c>
      <c r="I62" s="7"/>
      <c r="J62" s="7"/>
      <c r="K62" s="6"/>
      <c r="L62" s="8"/>
      <c r="M62" s="8"/>
      <c r="N62" s="8"/>
    </row>
    <row r="63" spans="1:14" ht="11.25">
      <c r="A63" s="5"/>
      <c r="B63" s="5"/>
      <c r="C63" s="6"/>
      <c r="D63" s="93"/>
      <c r="E63" s="5" t="s">
        <v>84</v>
      </c>
      <c r="F63" s="5"/>
      <c r="G63" s="33"/>
      <c r="H63" s="5" t="s">
        <v>84</v>
      </c>
      <c r="I63" s="7"/>
      <c r="J63" s="7"/>
      <c r="K63" s="6"/>
      <c r="L63" s="8"/>
      <c r="M63" s="8"/>
      <c r="N63" s="8"/>
    </row>
    <row r="64" spans="1:14" ht="11.25">
      <c r="A64" s="5"/>
      <c r="B64" s="5"/>
      <c r="C64" s="6"/>
      <c r="D64" s="93"/>
      <c r="E64" s="5" t="s">
        <v>84</v>
      </c>
      <c r="F64" s="5"/>
      <c r="G64" s="33"/>
      <c r="H64" s="5" t="s">
        <v>84</v>
      </c>
      <c r="I64" s="7"/>
      <c r="J64" s="7"/>
      <c r="K64" s="6"/>
      <c r="L64" s="8"/>
      <c r="M64" s="8"/>
      <c r="N64" s="8"/>
    </row>
    <row r="65" spans="1:14" ht="11.25">
      <c r="A65" s="5"/>
      <c r="B65" s="5"/>
      <c r="C65" s="6"/>
      <c r="D65" s="93"/>
      <c r="E65" s="5" t="s">
        <v>84</v>
      </c>
      <c r="F65" s="5"/>
      <c r="G65" s="33"/>
      <c r="H65" s="5" t="s">
        <v>84</v>
      </c>
      <c r="I65" s="7"/>
      <c r="J65" s="7"/>
      <c r="K65" s="6"/>
      <c r="L65" s="8"/>
      <c r="M65" s="8"/>
      <c r="N65" s="8"/>
    </row>
    <row r="66" spans="1:14" ht="11.25">
      <c r="A66" s="5"/>
      <c r="B66" s="5"/>
      <c r="C66" s="6"/>
      <c r="D66" s="93"/>
      <c r="E66" s="5" t="s">
        <v>84</v>
      </c>
      <c r="F66" s="5"/>
      <c r="G66" s="33"/>
      <c r="H66" s="5" t="s">
        <v>84</v>
      </c>
      <c r="I66" s="7"/>
      <c r="J66" s="7"/>
      <c r="K66" s="6"/>
      <c r="L66" s="8"/>
      <c r="M66" s="8"/>
      <c r="N66" s="8"/>
    </row>
    <row r="67" spans="1:14" ht="11.25">
      <c r="A67" s="5"/>
      <c r="B67" s="5"/>
      <c r="C67" s="5"/>
      <c r="D67" s="93"/>
      <c r="E67" s="5" t="s">
        <v>84</v>
      </c>
      <c r="F67" s="5"/>
      <c r="G67" s="33"/>
      <c r="H67" s="5" t="s">
        <v>84</v>
      </c>
      <c r="I67" s="7"/>
      <c r="J67" s="7"/>
      <c r="K67" s="8"/>
      <c r="L67" s="8"/>
      <c r="M67" s="8"/>
      <c r="N67" s="8"/>
    </row>
    <row r="68" spans="1:14" ht="11.25">
      <c r="A68" s="5"/>
      <c r="B68" s="5"/>
      <c r="C68" s="5"/>
      <c r="D68" s="93"/>
      <c r="E68" s="5" t="s">
        <v>84</v>
      </c>
      <c r="F68" s="5"/>
      <c r="G68" s="33"/>
      <c r="H68" s="5" t="s">
        <v>84</v>
      </c>
      <c r="I68" s="7"/>
      <c r="J68" s="7"/>
      <c r="K68" s="8"/>
      <c r="L68" s="8"/>
      <c r="M68" s="8"/>
      <c r="N68" s="8"/>
    </row>
    <row r="69" spans="1:14" ht="11.25">
      <c r="A69" s="5"/>
      <c r="B69" s="5"/>
      <c r="C69" s="5"/>
      <c r="D69" s="93"/>
      <c r="E69" s="5" t="s">
        <v>84</v>
      </c>
      <c r="F69" s="5"/>
      <c r="G69" s="33"/>
      <c r="H69" s="5" t="s">
        <v>84</v>
      </c>
      <c r="I69" s="7"/>
      <c r="J69" s="7"/>
      <c r="K69" s="8"/>
      <c r="L69" s="8"/>
      <c r="M69" s="8"/>
      <c r="N69" s="8"/>
    </row>
    <row r="70" spans="1:14" ht="11.25">
      <c r="A70" s="5"/>
      <c r="B70" s="5"/>
      <c r="C70" s="5"/>
      <c r="D70" s="93"/>
      <c r="E70" s="5" t="s">
        <v>84</v>
      </c>
      <c r="F70" s="11"/>
      <c r="G70" s="33"/>
      <c r="H70" s="5" t="s">
        <v>84</v>
      </c>
      <c r="I70" s="7"/>
      <c r="J70" s="7"/>
      <c r="K70" s="8"/>
      <c r="L70" s="8"/>
      <c r="M70" s="8"/>
      <c r="N70" s="8"/>
    </row>
    <row r="71" spans="1:14" ht="11.25">
      <c r="A71" s="5"/>
      <c r="B71" s="5"/>
      <c r="C71" s="5"/>
      <c r="D71" s="93"/>
      <c r="E71" s="5" t="s">
        <v>84</v>
      </c>
      <c r="F71" s="5"/>
      <c r="G71" s="33"/>
      <c r="H71" s="5" t="s">
        <v>84</v>
      </c>
      <c r="I71" s="7"/>
      <c r="J71" s="7"/>
      <c r="K71" s="5"/>
      <c r="L71" s="8"/>
      <c r="M71" s="8"/>
      <c r="N71" s="8"/>
    </row>
    <row r="72" spans="1:14" ht="11.25">
      <c r="A72" s="5"/>
      <c r="B72" s="5"/>
      <c r="C72" s="5"/>
      <c r="D72" s="93"/>
      <c r="E72" s="5" t="s">
        <v>84</v>
      </c>
      <c r="F72" s="5"/>
      <c r="G72" s="33"/>
      <c r="H72" s="5" t="s">
        <v>84</v>
      </c>
      <c r="I72" s="7"/>
      <c r="J72" s="7"/>
      <c r="K72" s="8"/>
      <c r="L72" s="8"/>
      <c r="M72" s="8"/>
      <c r="N72" s="8"/>
    </row>
    <row r="73" spans="1:14" ht="11.25">
      <c r="A73" s="5"/>
      <c r="B73" s="5"/>
      <c r="C73" s="6"/>
      <c r="D73" s="93"/>
      <c r="E73" s="5" t="s">
        <v>84</v>
      </c>
      <c r="F73" s="5"/>
      <c r="G73" s="102"/>
      <c r="H73" s="5" t="s">
        <v>84</v>
      </c>
      <c r="I73" s="7"/>
      <c r="J73" s="7"/>
      <c r="K73" s="8"/>
      <c r="L73" s="8"/>
      <c r="M73" s="8"/>
      <c r="N73" s="8"/>
    </row>
    <row r="74" ht="3.75" customHeight="1"/>
    <row r="76" spans="1:14" ht="11.25">
      <c r="A76" s="115" t="s">
        <v>137</v>
      </c>
      <c r="B76" s="2"/>
      <c r="C76" s="3">
        <f>SUM(C3:C73)-C73</f>
        <v>0</v>
      </c>
      <c r="D76" s="3"/>
      <c r="E76" s="3"/>
      <c r="F76" s="2"/>
      <c r="G76" s="2"/>
      <c r="H76" s="2"/>
      <c r="I76" s="2"/>
      <c r="J76" s="2"/>
      <c r="K76" s="3">
        <f>SUM(K3:K73)</f>
        <v>0</v>
      </c>
      <c r="L76" s="3">
        <f>SUM(L3:L73)</f>
        <v>0</v>
      </c>
      <c r="M76" s="3">
        <f>SUM(M3:M73)</f>
        <v>0</v>
      </c>
      <c r="N76" s="3">
        <f>SUM(N3:N73)</f>
        <v>0</v>
      </c>
    </row>
    <row r="77" spans="12:14" ht="11.25">
      <c r="L77" s="152">
        <f>L76+M76+N76</f>
        <v>0</v>
      </c>
      <c r="M77" s="153"/>
      <c r="N77" s="154"/>
    </row>
    <row r="78" spans="1:14" ht="11.25">
      <c r="A78" s="143" t="s">
        <v>5</v>
      </c>
      <c r="B78" s="143" t="s">
        <v>2</v>
      </c>
      <c r="C78" s="146" t="s">
        <v>84</v>
      </c>
      <c r="D78" s="146"/>
      <c r="E78" s="147"/>
      <c r="F78" s="147"/>
      <c r="G78" s="147"/>
      <c r="H78" s="147"/>
      <c r="I78" s="143" t="s">
        <v>3</v>
      </c>
      <c r="J78" s="143"/>
      <c r="K78" s="146" t="s">
        <v>84</v>
      </c>
      <c r="L78" s="147"/>
      <c r="M78" s="158" t="s">
        <v>4</v>
      </c>
      <c r="N78" s="161"/>
    </row>
    <row r="79" spans="1:14" ht="11.25">
      <c r="A79" s="144"/>
      <c r="B79" s="144"/>
      <c r="C79" s="148"/>
      <c r="D79" s="148"/>
      <c r="E79" s="148"/>
      <c r="F79" s="148"/>
      <c r="G79" s="148"/>
      <c r="H79" s="148"/>
      <c r="I79" s="144"/>
      <c r="J79" s="144"/>
      <c r="K79" s="148"/>
      <c r="L79" s="148"/>
      <c r="M79" s="159"/>
      <c r="N79" s="159"/>
    </row>
    <row r="80" spans="1:14" ht="11.25">
      <c r="A80" s="145"/>
      <c r="B80" s="145"/>
      <c r="C80" s="149"/>
      <c r="D80" s="149"/>
      <c r="E80" s="149"/>
      <c r="F80" s="149"/>
      <c r="G80" s="149"/>
      <c r="H80" s="149"/>
      <c r="I80" s="145"/>
      <c r="J80" s="145"/>
      <c r="K80" s="149"/>
      <c r="L80" s="149"/>
      <c r="M80" s="160"/>
      <c r="N80" s="160"/>
    </row>
  </sheetData>
  <sheetProtection/>
  <protectedRanges>
    <protectedRange sqref="C78:D78 K78 N78" name="Oblast3"/>
    <protectedRange sqref="A38:A73 B44:C73 A3:C37 B38:C42 D3:N73" name="Oblast2"/>
    <protectedRange sqref="K1" name="Oblast1"/>
  </protectedRanges>
  <mergeCells count="12">
    <mergeCell ref="L77:N77"/>
    <mergeCell ref="L1:M1"/>
    <mergeCell ref="N1:N2"/>
    <mergeCell ref="K78:L80"/>
    <mergeCell ref="M78:M80"/>
    <mergeCell ref="N78:N80"/>
    <mergeCell ref="A78:A80"/>
    <mergeCell ref="B78:B80"/>
    <mergeCell ref="C78:H80"/>
    <mergeCell ref="I78:J80"/>
    <mergeCell ref="D1:E1"/>
    <mergeCell ref="G1:H1"/>
  </mergeCells>
  <dataValidations count="3">
    <dataValidation type="list" allowBlank="1" showInputMessage="1" showErrorMessage="1" sqref="D3:D73 G3:G73">
      <formula1>test1</formula1>
    </dataValidation>
    <dataValidation type="list" allowBlank="1" showInputMessage="1" showErrorMessage="1" sqref="H3:H73">
      <formula1>INV1</formula1>
    </dataValidation>
    <dataValidation type="list" allowBlank="1" showInputMessage="1" showErrorMessage="1" sqref="E3:E73">
      <formula1>INV1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&amp;RPříloha Dokumentace programu 113 310</oddHeader>
    <oddFooter>&amp;RStr.&amp;P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="80" zoomScaleSheetLayoutView="80" zoomScalePageLayoutView="0" workbookViewId="0" topLeftCell="A1">
      <selection activeCell="F58" sqref="F58"/>
    </sheetView>
  </sheetViews>
  <sheetFormatPr defaultColWidth="9.140625" defaultRowHeight="12.75"/>
  <cols>
    <col min="1" max="1" width="6.8515625" style="9" customWidth="1"/>
    <col min="2" max="2" width="45.7109375" style="9" customWidth="1"/>
    <col min="3" max="3" width="16.7109375" style="9" customWidth="1"/>
    <col min="4" max="4" width="16.140625" style="9" customWidth="1"/>
    <col min="5" max="5" width="7.421875" style="9" customWidth="1"/>
    <col min="6" max="6" width="46.7109375" style="9" customWidth="1"/>
    <col min="7" max="8" width="16.28125" style="9" customWidth="1"/>
    <col min="9" max="16384" width="9.140625" style="9" customWidth="1"/>
  </cols>
  <sheetData>
    <row r="1" spans="1:8" ht="12">
      <c r="A1" s="111" t="str">
        <f>'Přehled smluv a faktur'!A1</f>
        <v>Přehled faktur a smluv k závěrečnému vyhodnocení akce</v>
      </c>
      <c r="B1" s="111"/>
      <c r="C1" s="111">
        <v>13310</v>
      </c>
      <c r="D1" s="112" t="str">
        <f>'Přehled smluv a faktur'!K1</f>
        <v>XXXX</v>
      </c>
      <c r="E1" s="111" t="str">
        <f>'Přehled smluv a faktur'!A1</f>
        <v>Přehled faktur a smluv k závěrečnému vyhodnocení akce</v>
      </c>
      <c r="F1" s="111"/>
      <c r="G1" s="111">
        <v>13310</v>
      </c>
      <c r="H1" s="112" t="str">
        <f>'Přehled smluv a faktur'!K1</f>
        <v>XXXX</v>
      </c>
    </row>
    <row r="2" spans="1:8" ht="12">
      <c r="A2" s="12" t="s">
        <v>6</v>
      </c>
      <c r="B2" s="13" t="s">
        <v>65</v>
      </c>
      <c r="C2" s="14" t="s">
        <v>82</v>
      </c>
      <c r="D2" s="14" t="s">
        <v>83</v>
      </c>
      <c r="E2" s="12" t="s">
        <v>64</v>
      </c>
      <c r="F2" s="13" t="s">
        <v>66</v>
      </c>
      <c r="G2" s="14" t="s">
        <v>82</v>
      </c>
      <c r="H2" s="14" t="s">
        <v>83</v>
      </c>
    </row>
    <row r="3" spans="1:8" ht="12">
      <c r="A3" s="84">
        <v>5010</v>
      </c>
      <c r="B3" s="12" t="s">
        <v>116</v>
      </c>
      <c r="C3" s="16">
        <f>SUMIF('Přehled smluv a faktur'!D3:D73,"=5010",'Přehled smluv a faktur'!C3:C73)</f>
        <v>0</v>
      </c>
      <c r="D3" s="16">
        <f>SUMIF('Přehled smluv a faktur'!G3:G73,"=5010",'Přehled smluv a faktur'!K3:K73)</f>
        <v>0</v>
      </c>
      <c r="E3" s="15">
        <v>6010</v>
      </c>
      <c r="F3" s="12" t="s">
        <v>116</v>
      </c>
      <c r="G3" s="16">
        <f>SUMIF('Přehled smluv a faktur'!E3:E73,"=6010",'Přehled smluv a faktur'!C3:C73)</f>
        <v>0</v>
      </c>
      <c r="H3" s="16">
        <f>SUMIF('Přehled smluv a faktur'!H3:H73,"=6010",'Přehled smluv a faktur'!K3:K73)</f>
        <v>0</v>
      </c>
    </row>
    <row r="4" spans="1:8" ht="12">
      <c r="A4" s="84">
        <v>5011</v>
      </c>
      <c r="B4" s="12" t="s">
        <v>117</v>
      </c>
      <c r="C4" s="16">
        <f>SUMIF('Přehled smluv a faktur'!D3:D73,"=5011",'Přehled smluv a faktur'!C3:C73)</f>
        <v>0</v>
      </c>
      <c r="D4" s="16">
        <f>SUMIF('Přehled smluv a faktur'!G3:G73,"=5011",'Přehled smluv a faktur'!K3:K73)</f>
        <v>0</v>
      </c>
      <c r="E4" s="15">
        <v>6011</v>
      </c>
      <c r="F4" s="12" t="s">
        <v>117</v>
      </c>
      <c r="G4" s="16">
        <f>SUMIF('Přehled smluv a faktur'!E3:E73,"=6011",'Přehled smluv a faktur'!C3:C73)</f>
        <v>0</v>
      </c>
      <c r="H4" s="16">
        <f>SUMIF('Přehled smluv a faktur'!H3:H73,"=6011",'Přehled smluv a faktur'!K3:K73)</f>
        <v>0</v>
      </c>
    </row>
    <row r="5" spans="1:8" ht="12">
      <c r="A5" s="84">
        <v>5012</v>
      </c>
      <c r="B5" s="12" t="s">
        <v>7</v>
      </c>
      <c r="C5" s="16">
        <f>SUMIF('Přehled smluv a faktur'!D3:D73,"=5012",'Přehled smluv a faktur'!C3:C73)</f>
        <v>0</v>
      </c>
      <c r="D5" s="16">
        <f>SUMIF('Přehled smluv a faktur'!G3:G73,"=5012",'Přehled smluv a faktur'!K3:K73)</f>
        <v>0</v>
      </c>
      <c r="E5" s="15">
        <v>6012</v>
      </c>
      <c r="F5" s="12" t="s">
        <v>7</v>
      </c>
      <c r="G5" s="16">
        <f>SUMIF('Přehled smluv a faktur'!E3:E73,"=6012",'Přehled smluv a faktur'!C3:C73)</f>
        <v>0</v>
      </c>
      <c r="H5" s="16">
        <f>SUMIF('Přehled smluv a faktur'!H3:H73,"=6012",'Přehled smluv a faktur'!K3:K73)</f>
        <v>0</v>
      </c>
    </row>
    <row r="6" spans="1:8" ht="12">
      <c r="A6" s="84">
        <v>5014</v>
      </c>
      <c r="B6" s="12" t="s">
        <v>104</v>
      </c>
      <c r="C6" s="16">
        <f>SUMIF('Přehled smluv a faktur'!D3:D73,"=5014",'Přehled smluv a faktur'!C3:C73)</f>
        <v>0</v>
      </c>
      <c r="D6" s="16">
        <f>SUMIF('Přehled smluv a faktur'!G3:G73,"=5014",'Přehled smluv a faktur'!K3:K73)</f>
        <v>0</v>
      </c>
      <c r="E6" s="15">
        <v>6013</v>
      </c>
      <c r="F6" s="12" t="s">
        <v>67</v>
      </c>
      <c r="G6" s="16">
        <f>SUMIF('Přehled smluv a faktur'!E3:E73,"=6013",'Přehled smluv a faktur'!C3:C73)</f>
        <v>0</v>
      </c>
      <c r="H6" s="16">
        <f>SUMIF('Přehled smluv a faktur'!H3:H73,"=6013",'Přehled smluv a faktur'!K3:K73)</f>
        <v>0</v>
      </c>
    </row>
    <row r="7" spans="1:8" ht="12">
      <c r="A7" s="84">
        <v>5019</v>
      </c>
      <c r="B7" s="12" t="s">
        <v>118</v>
      </c>
      <c r="C7" s="16">
        <f>SUMIF('Přehled smluv a faktur'!D3:D73,"=5019",'Přehled smluv a faktur'!C3:C73)</f>
        <v>0</v>
      </c>
      <c r="D7" s="16">
        <f>SUMIF('Přehled smluv a faktur'!G3:G73,"=5019",'Přehled smluv a faktur'!K3:K73)</f>
        <v>0</v>
      </c>
      <c r="E7" s="15">
        <v>6014</v>
      </c>
      <c r="F7" s="12" t="s">
        <v>68</v>
      </c>
      <c r="G7" s="16">
        <f>SUMIF('Přehled smluv a faktur'!E3:E73,"=6014",'Přehled smluv a faktur'!C3:C73)</f>
        <v>0</v>
      </c>
      <c r="H7" s="16">
        <f>SUMIF('Přehled smluv a faktur'!H3:H73,"=6014",'Přehled smluv a faktur'!K3:K73)</f>
        <v>0</v>
      </c>
    </row>
    <row r="8" spans="1:8" ht="12">
      <c r="A8" s="17" t="s">
        <v>105</v>
      </c>
      <c r="B8" s="18" t="s">
        <v>10</v>
      </c>
      <c r="C8" s="19">
        <f>SUM(C3:C7)</f>
        <v>0</v>
      </c>
      <c r="D8" s="19">
        <f>SUM(D3:D7)</f>
        <v>0</v>
      </c>
      <c r="E8" s="15">
        <v>6019</v>
      </c>
      <c r="F8" s="12" t="s">
        <v>118</v>
      </c>
      <c r="G8" s="16">
        <f>SUMIF('Přehled smluv a faktur'!E3:E73,"=6019",'Přehled smluv a faktur'!C3:C73)</f>
        <v>0</v>
      </c>
      <c r="H8" s="16">
        <f>SUMIF('Přehled smluv a faktur'!H3:H73,"=6019",'Přehled smluv a faktur'!K3:K73)</f>
        <v>0</v>
      </c>
    </row>
    <row r="9" spans="1:8" ht="12">
      <c r="A9" s="84">
        <v>5030</v>
      </c>
      <c r="B9" s="12" t="s">
        <v>19</v>
      </c>
      <c r="C9" s="16">
        <f>SUMIF('Přehled smluv a faktur'!D3:D73,"=5030",'Přehled smluv a faktur'!C3:C73)</f>
        <v>0</v>
      </c>
      <c r="D9" s="16">
        <f>SUMIF('Přehled smluv a faktur'!G3:G73,"=5030",'Přehled smluv a faktur'!K3:K73)</f>
        <v>0</v>
      </c>
      <c r="E9" s="17" t="s">
        <v>119</v>
      </c>
      <c r="F9" s="18" t="s">
        <v>10</v>
      </c>
      <c r="G9" s="20">
        <f>SUM(G3:G8)</f>
        <v>0</v>
      </c>
      <c r="H9" s="20">
        <f>SUM(H3:H8)</f>
        <v>0</v>
      </c>
    </row>
    <row r="10" spans="1:8" ht="12">
      <c r="A10" s="84">
        <v>5031</v>
      </c>
      <c r="B10" s="12" t="s">
        <v>20</v>
      </c>
      <c r="C10" s="16">
        <f>SUMIF('Přehled smluv a faktur'!D3:D73,"=5031",'Přehled smluv a faktur'!C3:C73)</f>
        <v>0</v>
      </c>
      <c r="D10" s="16">
        <f>SUMIF('Přehled smluv a faktur'!G3:G73,"=5031",'Přehled smluv a faktur'!K3:K73)</f>
        <v>0</v>
      </c>
      <c r="E10" s="15">
        <v>6090</v>
      </c>
      <c r="F10" s="12" t="s">
        <v>69</v>
      </c>
      <c r="G10" s="16">
        <f>SUMIF('Přehled smluv a faktur'!E3:E73,"=6090",'Přehled smluv a faktur'!C3:C73)</f>
        <v>0</v>
      </c>
      <c r="H10" s="16">
        <f>SUMIF('Přehled smluv a faktur'!H3:H73,"=6090",'Přehled smluv a faktur'!K3:K73)</f>
        <v>0</v>
      </c>
    </row>
    <row r="11" spans="1:8" ht="12">
      <c r="A11" s="84">
        <v>5032</v>
      </c>
      <c r="B11" s="12" t="s">
        <v>21</v>
      </c>
      <c r="C11" s="16">
        <f>SUMIF('Přehled smluv a faktur'!D3:D73,"=5032",'Přehled smluv a faktur'!C3:C73)</f>
        <v>0</v>
      </c>
      <c r="D11" s="16">
        <f>SUMIF('Přehled smluv a faktur'!G3:G73,"=5032",'Přehled smluv a faktur'!K3:K73)</f>
        <v>0</v>
      </c>
      <c r="E11" s="15">
        <v>6091</v>
      </c>
      <c r="F11" s="12" t="s">
        <v>34</v>
      </c>
      <c r="G11" s="16">
        <f>SUMIF('Přehled smluv a faktur'!E3:E73,"=6091",'Přehled smluv a faktur'!C3:C73)</f>
        <v>0</v>
      </c>
      <c r="H11" s="16">
        <f>SUMIF('Přehled smluv a faktur'!H3:H73,"=6091",'Přehled smluv a faktur'!K3:K73)</f>
        <v>0</v>
      </c>
    </row>
    <row r="12" spans="1:8" ht="12">
      <c r="A12" s="84">
        <v>5039</v>
      </c>
      <c r="B12" s="12" t="s">
        <v>22</v>
      </c>
      <c r="C12" s="16">
        <f>SUMIF('Přehled smluv a faktur'!D3:D73,"=5039",'Přehled smluv a faktur'!C3:C73)</f>
        <v>0</v>
      </c>
      <c r="D12" s="16">
        <f>SUMIF('Přehled smluv a faktur'!G3:G73,"=5039",'Přehled smluv a faktur'!K3:K73)</f>
        <v>0</v>
      </c>
      <c r="E12" s="15">
        <v>6092</v>
      </c>
      <c r="F12" s="12" t="s">
        <v>70</v>
      </c>
      <c r="G12" s="16">
        <f>SUMIF('Přehled smluv a faktur'!E3:E73,"=6092",'Přehled smluv a faktur'!C3:C73)</f>
        <v>0</v>
      </c>
      <c r="H12" s="16">
        <f>SUMIF('Přehled smluv a faktur'!H3:H73,"=6092",'Přehled smluv a faktur'!K3:K73)</f>
        <v>0</v>
      </c>
    </row>
    <row r="13" spans="1:8" ht="12">
      <c r="A13" s="17" t="s">
        <v>106</v>
      </c>
      <c r="B13" s="18" t="s">
        <v>23</v>
      </c>
      <c r="C13" s="19">
        <f>SUM(C9:C12)</f>
        <v>0</v>
      </c>
      <c r="D13" s="19">
        <f>SUM(D9:D12)</f>
        <v>0</v>
      </c>
      <c r="E13" s="15">
        <v>6093</v>
      </c>
      <c r="F13" s="12" t="s">
        <v>35</v>
      </c>
      <c r="G13" s="16">
        <f>SUMIF('Přehled smluv a faktur'!E3:E73,"=6093",'Přehled smluv a faktur'!C3:C73)</f>
        <v>0</v>
      </c>
      <c r="H13" s="16">
        <f>SUMIF('Přehled smluv a faktur'!H3:H73,"=6093",'Přehled smluv a faktur'!K3:K73)</f>
        <v>0</v>
      </c>
    </row>
    <row r="14" spans="1:8" ht="12">
      <c r="A14" s="84">
        <v>5050</v>
      </c>
      <c r="B14" s="12" t="s">
        <v>8</v>
      </c>
      <c r="C14" s="16">
        <f>SUMIF('Přehled smluv a faktur'!D3:D73,"=5050",'Přehled smluv a faktur'!C3:C73)</f>
        <v>0</v>
      </c>
      <c r="D14" s="16">
        <f>SUMIF('Přehled smluv a faktur'!G3:G73,"=5050",'Přehled smluv a faktur'!K3:K73)</f>
        <v>0</v>
      </c>
      <c r="E14" s="15">
        <v>6094</v>
      </c>
      <c r="F14" s="12" t="s">
        <v>71</v>
      </c>
      <c r="G14" s="16">
        <f>SUMIF('Přehled smluv a faktur'!E3:E73,"=6094",'Přehled smluv a faktur'!C3:C73)</f>
        <v>0</v>
      </c>
      <c r="H14" s="16">
        <f>SUMIF('Přehled smluv a faktur'!H3:H73,"=6094",'Přehled smluv a faktur'!K3:K73)</f>
        <v>0</v>
      </c>
    </row>
    <row r="15" spans="1:8" ht="12">
      <c r="A15" s="84">
        <v>5051</v>
      </c>
      <c r="B15" s="12" t="s">
        <v>9</v>
      </c>
      <c r="C15" s="16">
        <f>SUMIF('Přehled smluv a faktur'!D3:D73,"=5051",'Přehled smluv a faktur'!C3:C73)</f>
        <v>0</v>
      </c>
      <c r="D15" s="16">
        <f>SUMIF('Přehled smluv a faktur'!G3:G73,"=5051",'Přehled smluv a faktur'!K3:K73)</f>
        <v>0</v>
      </c>
      <c r="E15" s="15">
        <v>6095</v>
      </c>
      <c r="F15" s="12" t="s">
        <v>36</v>
      </c>
      <c r="G15" s="16">
        <f>SUMIF('Přehled smluv a faktur'!E3:E73,"=6095",'Přehled smluv a faktur'!C3:C73)</f>
        <v>0</v>
      </c>
      <c r="H15" s="16">
        <f>SUMIF('Přehled smluv a faktur'!H3:H73,"=6095",'Přehled smluv a faktur'!K3:K73)</f>
        <v>0</v>
      </c>
    </row>
    <row r="16" spans="1:8" ht="12">
      <c r="A16" s="84">
        <v>5052</v>
      </c>
      <c r="B16" s="12" t="s">
        <v>11</v>
      </c>
      <c r="C16" s="16">
        <f>SUMIF('Přehled smluv a faktur'!D3:D73,"=5052",'Přehled smluv a faktur'!C3:C73)</f>
        <v>0</v>
      </c>
      <c r="D16" s="16">
        <f>SUMIF('Přehled smluv a faktur'!G3:G73,"=5052",'Přehled smluv a faktur'!K3:K73)</f>
        <v>0</v>
      </c>
      <c r="E16" s="15">
        <v>6096</v>
      </c>
      <c r="F16" s="12" t="s">
        <v>72</v>
      </c>
      <c r="G16" s="16">
        <f>SUMIF('Přehled smluv a faktur'!E3:E73,"=6096",'Přehled smluv a faktur'!C3:C73)</f>
        <v>0</v>
      </c>
      <c r="H16" s="16">
        <f>SUMIF('Přehled smluv a faktur'!H3:H73,"=6096",'Přehled smluv a faktur'!K3:K73)</f>
        <v>0</v>
      </c>
    </row>
    <row r="17" spans="1:8" ht="12">
      <c r="A17" s="84">
        <v>5053</v>
      </c>
      <c r="B17" s="12" t="s">
        <v>12</v>
      </c>
      <c r="C17" s="16">
        <f>SUMIF('Přehled smluv a faktur'!D3:D73,"=5053",'Přehled smluv a faktur'!C3:C73)</f>
        <v>0</v>
      </c>
      <c r="D17" s="16">
        <f>SUMIF('Přehled smluv a faktur'!G3:G73,"=5053",'Přehled smluv a faktur'!K3:K73)</f>
        <v>0</v>
      </c>
      <c r="E17" s="15">
        <v>6097</v>
      </c>
      <c r="F17" s="12" t="s">
        <v>73</v>
      </c>
      <c r="G17" s="16">
        <f>SUMIF('Přehled smluv a faktur'!E3:E73,"=6097",'Přehled smluv a faktur'!C3:C73)</f>
        <v>0</v>
      </c>
      <c r="H17" s="16">
        <f>SUMIF('Přehled smluv a faktur'!H3:H73,"=6097",'Přehled smluv a faktur'!K3:K73)</f>
        <v>0</v>
      </c>
    </row>
    <row r="18" spans="1:8" ht="12">
      <c r="A18" s="84">
        <v>5054</v>
      </c>
      <c r="B18" s="12" t="s">
        <v>13</v>
      </c>
      <c r="C18" s="16">
        <f>SUMIF('Přehled smluv a faktur'!D3:D73,"=5054",'Přehled smluv a faktur'!C3:C73)</f>
        <v>0</v>
      </c>
      <c r="D18" s="16">
        <f>SUMIF('Přehled smluv a faktur'!G3:G73,"=5054",'Přehled smluv a faktur'!K3:K73)</f>
        <v>0</v>
      </c>
      <c r="E18" s="15">
        <v>6099</v>
      </c>
      <c r="F18" s="12" t="s">
        <v>37</v>
      </c>
      <c r="G18" s="16">
        <f>SUMIF('Přehled smluv a faktur'!E3:E73,"=6099",'Přehled smluv a faktur'!C3:C73)</f>
        <v>0</v>
      </c>
      <c r="H18" s="16">
        <f>SUMIF('Přehled smluv a faktur'!H3:H73,"=6099",'Přehled smluv a faktur'!K3:K73)</f>
        <v>0</v>
      </c>
    </row>
    <row r="19" spans="1:8" ht="12">
      <c r="A19" s="84">
        <v>5055</v>
      </c>
      <c r="B19" s="12" t="s">
        <v>14</v>
      </c>
      <c r="C19" s="16">
        <f>SUMIF('Přehled smluv a faktur'!D3:D73,"=5055",'Přehled smluv a faktur'!C3:C73)</f>
        <v>0</v>
      </c>
      <c r="D19" s="16">
        <f>SUMIF('Přehled smluv a faktur'!G3:G73,"=5055",'Přehled smluv a faktur'!K3:K73)</f>
        <v>0</v>
      </c>
      <c r="E19" s="17" t="s">
        <v>120</v>
      </c>
      <c r="F19" s="18" t="s">
        <v>74</v>
      </c>
      <c r="G19" s="20">
        <f>SUM(G10:G18)</f>
        <v>0</v>
      </c>
      <c r="H19" s="20">
        <f>SUM(H10:H18)</f>
        <v>0</v>
      </c>
    </row>
    <row r="20" spans="1:8" ht="12">
      <c r="A20" s="84">
        <v>5056</v>
      </c>
      <c r="B20" s="12" t="s">
        <v>15</v>
      </c>
      <c r="C20" s="16">
        <f>SUMIF('Přehled smluv a faktur'!D3:D73,"=5056",'Přehled smluv a faktur'!C3:C73)</f>
        <v>0</v>
      </c>
      <c r="D20" s="16">
        <f>SUMIF('Přehled smluv a faktur'!G3:G73,"=5056",'Přehled smluv a faktur'!K3:K73)</f>
        <v>0</v>
      </c>
      <c r="E20" s="15">
        <v>6110</v>
      </c>
      <c r="F20" s="12" t="s">
        <v>39</v>
      </c>
      <c r="G20" s="16">
        <f>SUMIF('Přehled smluv a faktur'!E3:E73,"=6110",'Přehled smluv a faktur'!C3:C73)</f>
        <v>0</v>
      </c>
      <c r="H20" s="16">
        <f>SUMIF('Přehled smluv a faktur'!H3:H73,"=6110",'Přehled smluv a faktur'!K3:K73)</f>
        <v>0</v>
      </c>
    </row>
    <row r="21" spans="1:8" ht="12">
      <c r="A21" s="84">
        <v>5057</v>
      </c>
      <c r="B21" s="12" t="s">
        <v>16</v>
      </c>
      <c r="C21" s="16">
        <f>SUMIF('Přehled smluv a faktur'!D3:D73,"=5057",'Přehled smluv a faktur'!C3:C73)</f>
        <v>0</v>
      </c>
      <c r="D21" s="16">
        <f>SUMIF('Přehled smluv a faktur'!G3:G73,"=5057",'Přehled smluv a faktur'!K3:K73)</f>
        <v>0</v>
      </c>
      <c r="E21" s="15">
        <v>6111</v>
      </c>
      <c r="F21" s="12" t="s">
        <v>40</v>
      </c>
      <c r="G21" s="16">
        <f>SUMIF('Přehled smluv a faktur'!E3:E73,"=6111",'Přehled smluv a faktur'!C3:C73)</f>
        <v>0</v>
      </c>
      <c r="H21" s="16">
        <f>SUMIF('Přehled smluv a faktur'!H3:H73,"=6111",'Přehled smluv a faktur'!K3:K73)</f>
        <v>0</v>
      </c>
    </row>
    <row r="22" spans="1:8" ht="12">
      <c r="A22" s="84">
        <v>5058</v>
      </c>
      <c r="B22" s="12" t="s">
        <v>17</v>
      </c>
      <c r="C22" s="16">
        <f>SUMIF('Přehled smluv a faktur'!D3:D73,"=5058",'Přehled smluv a faktur'!C3:C73)</f>
        <v>0</v>
      </c>
      <c r="D22" s="16">
        <f>SUMIF('Přehled smluv a faktur'!G3:G73,"=5058",'Přehled smluv a faktur'!K3:K73)</f>
        <v>0</v>
      </c>
      <c r="E22" s="15">
        <v>6112</v>
      </c>
      <c r="F22" s="12" t="s">
        <v>41</v>
      </c>
      <c r="G22" s="16">
        <f>SUMIF('Přehled smluv a faktur'!E3:E73,"=6112",'Přehled smluv a faktur'!C3:C73)</f>
        <v>0</v>
      </c>
      <c r="H22" s="16">
        <f>SUMIF('Přehled smluv a faktur'!H3:H73,"=6112",'Přehled smluv a faktur'!K3:K73)</f>
        <v>0</v>
      </c>
    </row>
    <row r="23" spans="1:8" ht="12">
      <c r="A23" s="17" t="s">
        <v>107</v>
      </c>
      <c r="B23" s="18" t="s">
        <v>18</v>
      </c>
      <c r="C23" s="19">
        <f>SUM(C14:C22)</f>
        <v>0</v>
      </c>
      <c r="D23" s="19">
        <f>SUM(D14:D22)</f>
        <v>0</v>
      </c>
      <c r="E23" s="15">
        <v>6113</v>
      </c>
      <c r="F23" s="12" t="s">
        <v>42</v>
      </c>
      <c r="G23" s="16">
        <f>SUMIF('Přehled smluv a faktur'!E3:E73,"=6113",'Přehled smluv a faktur'!C3:C73)</f>
        <v>0</v>
      </c>
      <c r="H23" s="16">
        <f>SUMIF('Přehled smluv a faktur'!H3:H73,"=6113",'Přehled smluv a faktur'!K3:K73)</f>
        <v>0</v>
      </c>
    </row>
    <row r="24" spans="1:8" ht="12">
      <c r="A24" s="15">
        <v>5070</v>
      </c>
      <c r="B24" s="12" t="s">
        <v>24</v>
      </c>
      <c r="C24" s="16">
        <f>SUMIF('Přehled smluv a faktur'!D3:D73,"=5070",'Přehled smluv a faktur'!C3:C73)</f>
        <v>0</v>
      </c>
      <c r="D24" s="16">
        <f>SUMIF('Přehled smluv a faktur'!G3:G73,"=5070",'Přehled smluv a faktur'!K3:K73)</f>
        <v>0</v>
      </c>
      <c r="E24" s="15">
        <v>6114</v>
      </c>
      <c r="F24" s="12" t="s">
        <v>43</v>
      </c>
      <c r="G24" s="16">
        <f>SUMIF('Přehled smluv a faktur'!E3:E73,"=6114",'Přehled smluv a faktur'!C3:C73)</f>
        <v>0</v>
      </c>
      <c r="H24" s="16">
        <f>SUMIF('Přehled smluv a faktur'!H3:H73,"=6114",'Přehled smluv a faktur'!K3:K73)</f>
        <v>0</v>
      </c>
    </row>
    <row r="25" spans="1:8" ht="12">
      <c r="A25" s="15">
        <v>5071</v>
      </c>
      <c r="B25" s="12" t="s">
        <v>25</v>
      </c>
      <c r="C25" s="16">
        <f>SUMIF('Přehled smluv a faktur'!D3:D73,"=5071",'Přehled smluv a faktur'!C3:C73)</f>
        <v>0</v>
      </c>
      <c r="D25" s="16">
        <f>SUMIF('Přehled smluv a faktur'!G3:G73,"=5071",'Přehled smluv a faktur'!K3:K73)</f>
        <v>0</v>
      </c>
      <c r="E25" s="15">
        <v>6115</v>
      </c>
      <c r="F25" s="12" t="s">
        <v>42</v>
      </c>
      <c r="G25" s="16">
        <f>SUMIF('Přehled smluv a faktur'!E3:E73,"=6115",'Přehled smluv a faktur'!C3:C73)</f>
        <v>0</v>
      </c>
      <c r="H25" s="16">
        <f>SUMIF('Přehled smluv a faktur'!H3:H73,"=6115",'Přehled smluv a faktur'!K3:K73)</f>
        <v>0</v>
      </c>
    </row>
    <row r="26" spans="1:8" ht="12">
      <c r="A26" s="15">
        <v>5072</v>
      </c>
      <c r="B26" s="12" t="s">
        <v>26</v>
      </c>
      <c r="C26" s="16">
        <f>SUMIF('Přehled smluv a faktur'!D3:D73,"=5072",'Přehled smluv a faktur'!C3:C73)</f>
        <v>0</v>
      </c>
      <c r="D26" s="16">
        <f>SUMIF('Přehled smluv a faktur'!G3:G73,"=5072",'Přehled smluv a faktur'!K3:K73)</f>
        <v>0</v>
      </c>
      <c r="E26" s="15">
        <v>6116</v>
      </c>
      <c r="F26" s="12" t="s">
        <v>44</v>
      </c>
      <c r="G26" s="16">
        <f>SUMIF('Přehled smluv a faktur'!E3:E73,"=6116",'Přehled smluv a faktur'!C3:C73)</f>
        <v>0</v>
      </c>
      <c r="H26" s="16">
        <f>SUMIF('Přehled smluv a faktur'!H3:H73,"=6116",'Přehled smluv a faktur'!K3:K73)</f>
        <v>0</v>
      </c>
    </row>
    <row r="27" spans="1:8" ht="12">
      <c r="A27" s="15">
        <v>5073</v>
      </c>
      <c r="B27" s="12" t="s">
        <v>27</v>
      </c>
      <c r="C27" s="16">
        <f>SUMIF('Přehled smluv a faktur'!D3:D73,"=5073",'Přehled smluv a faktur'!C3:C73)</f>
        <v>0</v>
      </c>
      <c r="D27" s="16">
        <f>SUMIF('Přehled smluv a faktur'!G3:G73,"=5073",'Přehled smluv a faktur'!K3:K73)</f>
        <v>0</v>
      </c>
      <c r="E27" s="15">
        <v>6117</v>
      </c>
      <c r="F27" s="12" t="s">
        <v>45</v>
      </c>
      <c r="G27" s="16">
        <f>SUMIF('Přehled smluv a faktur'!E3:E73,"=6117",'Přehled smluv a faktur'!C3:C73)</f>
        <v>0</v>
      </c>
      <c r="H27" s="16">
        <f>SUMIF('Přehled smluv a faktur'!H3:H73,"=6117",'Přehled smluv a faktur'!K3:K73)</f>
        <v>0</v>
      </c>
    </row>
    <row r="28" spans="1:8" ht="12">
      <c r="A28" s="15">
        <v>5074</v>
      </c>
      <c r="B28" s="12" t="s">
        <v>28</v>
      </c>
      <c r="C28" s="16">
        <f>SUMIF('Přehled smluv a faktur'!D3:D73,"=5074",'Přehled smluv a faktur'!C3:C73)</f>
        <v>0</v>
      </c>
      <c r="D28" s="16">
        <f>SUMIF('Přehled smluv a faktur'!G3:G73,"=5074",'Přehled smluv a faktur'!K3:K73)</f>
        <v>0</v>
      </c>
      <c r="E28" s="15">
        <v>6119</v>
      </c>
      <c r="F28" s="12" t="s">
        <v>46</v>
      </c>
      <c r="G28" s="16">
        <f>SUMIF('Přehled smluv a faktur'!E3:E73,"=6119",'Přehled smluv a faktur'!C3:C73)</f>
        <v>0</v>
      </c>
      <c r="H28" s="16">
        <f>SUMIF('Přehled smluv a faktur'!H3:H73,"=6119",'Přehled smluv a faktur'!K3:K73)</f>
        <v>0</v>
      </c>
    </row>
    <row r="29" spans="1:8" ht="12">
      <c r="A29" s="15">
        <v>5075</v>
      </c>
      <c r="B29" s="12" t="s">
        <v>29</v>
      </c>
      <c r="C29" s="16">
        <f>SUMIF('Přehled smluv a faktur'!D3:D73,"=5075",'Přehled smluv a faktur'!C3:C73)</f>
        <v>0</v>
      </c>
      <c r="D29" s="16">
        <f>SUMIF('Přehled smluv a faktur'!G3:G73,"=5075",'Přehled smluv a faktur'!K3:K73)</f>
        <v>0</v>
      </c>
      <c r="E29" s="17" t="s">
        <v>81</v>
      </c>
      <c r="F29" s="18" t="s">
        <v>47</v>
      </c>
      <c r="G29" s="20">
        <f>SUM(G20:G28)</f>
        <v>0</v>
      </c>
      <c r="H29" s="20">
        <f>SUM(H20:H28)</f>
        <v>0</v>
      </c>
    </row>
    <row r="30" spans="1:8" ht="12">
      <c r="A30" s="15">
        <v>5076</v>
      </c>
      <c r="B30" s="12" t="s">
        <v>30</v>
      </c>
      <c r="C30" s="16">
        <f>SUMIF('Přehled smluv a faktur'!D3:D73,"=5076",'Přehled smluv a faktur'!C3:C73)</f>
        <v>0</v>
      </c>
      <c r="D30" s="16">
        <f>SUMIF('Přehled smluv a faktur'!G3:G73,"=5076",'Přehled smluv a faktur'!K3:K73)</f>
        <v>0</v>
      </c>
      <c r="E30" s="15">
        <v>6130</v>
      </c>
      <c r="F30" s="12" t="s">
        <v>48</v>
      </c>
      <c r="G30" s="16">
        <f>SUMIF('Přehled smluv a faktur'!E3:E73,"=6130",'Přehled smluv a faktur'!C3:C73)</f>
        <v>0</v>
      </c>
      <c r="H30" s="16">
        <f>SUMIF('Přehled smluv a faktur'!H3:H73,"=6130",'Přehled smluv a faktur'!K3:IJ73)</f>
        <v>0</v>
      </c>
    </row>
    <row r="31" spans="1:8" ht="12">
      <c r="A31" s="15">
        <v>5077</v>
      </c>
      <c r="B31" s="12" t="s">
        <v>31</v>
      </c>
      <c r="C31" s="16">
        <f>SUMIF('Přehled smluv a faktur'!D3:D73,"=5077",'Přehled smluv a faktur'!C3:C73)</f>
        <v>0</v>
      </c>
      <c r="D31" s="16">
        <f>SUMIF('Přehled smluv a faktur'!G3:G73,"=5077",'Přehled smluv a faktur'!K3:K73)</f>
        <v>0</v>
      </c>
      <c r="E31" s="15">
        <v>6131</v>
      </c>
      <c r="F31" s="12" t="s">
        <v>49</v>
      </c>
      <c r="G31" s="16">
        <f>SUMIF('Přehled smluv a faktur'!E3:E73,"=6131",'Přehled smluv a faktur'!C3:C73)</f>
        <v>0</v>
      </c>
      <c r="H31" s="16">
        <f>SUMIF('Přehled smluv a faktur'!H3:H73,"=6131",'Přehled smluv a faktur'!K3:K73)</f>
        <v>0</v>
      </c>
    </row>
    <row r="32" spans="1:8" ht="12">
      <c r="A32" s="15">
        <v>5078</v>
      </c>
      <c r="B32" s="12" t="s">
        <v>32</v>
      </c>
      <c r="C32" s="16">
        <f>SUMIF('Přehled smluv a faktur'!D3:D73,"=5078",'Přehled smluv a faktur'!C3:C73)</f>
        <v>0</v>
      </c>
      <c r="D32" s="16">
        <f>SUMIF('Přehled smluv a faktur'!G3:G73,"=5078",'Přehled smluv a faktur'!K3:K73)</f>
        <v>0</v>
      </c>
      <c r="E32" s="15">
        <v>6132</v>
      </c>
      <c r="F32" s="12" t="s">
        <v>75</v>
      </c>
      <c r="G32" s="16">
        <f>SUMIF('Přehled smluv a faktur'!E3:E73,"=6133",'Přehled smluv a faktur'!C3:C73)</f>
        <v>0</v>
      </c>
      <c r="H32" s="16">
        <f>SUMIF('Přehled smluv a faktur'!H3:H73,"=6132",'Přehled smluv a faktur'!K3:K73)</f>
        <v>0</v>
      </c>
    </row>
    <row r="33" spans="1:8" ht="12">
      <c r="A33" s="17" t="s">
        <v>110</v>
      </c>
      <c r="B33" s="18" t="s">
        <v>33</v>
      </c>
      <c r="C33" s="19">
        <f>SUM(C24:C32)</f>
        <v>0</v>
      </c>
      <c r="D33" s="19">
        <f>SUM(D24:D32)</f>
        <v>0</v>
      </c>
      <c r="E33" s="15">
        <v>6133</v>
      </c>
      <c r="F33" s="12" t="s">
        <v>76</v>
      </c>
      <c r="G33" s="16">
        <f>SUMIF('Přehled smluv a faktur'!E3:E73,"=6133",'Přehled smluv a faktur'!C3:C73)</f>
        <v>0</v>
      </c>
      <c r="H33" s="16">
        <f>SUMIF('Přehled smluv a faktur'!H3:H73,"=6133",'Přehled smluv a faktur'!K3:K73)</f>
        <v>0</v>
      </c>
    </row>
    <row r="34" spans="1:8" ht="12">
      <c r="A34" s="85">
        <v>5090</v>
      </c>
      <c r="B34" s="86" t="s">
        <v>69</v>
      </c>
      <c r="C34" s="16">
        <f>SUMIF('Přehled smluv a faktur'!D2:D72,"=5090",'Přehled smluv a faktur'!C2:C72)</f>
        <v>0</v>
      </c>
      <c r="D34" s="16">
        <f>SUMIF('Přehled smluv a faktur'!G3:G73,"=5090",'Přehled smluv a faktur'!K2:K72)</f>
        <v>0</v>
      </c>
      <c r="E34" s="15">
        <v>6139</v>
      </c>
      <c r="F34" s="12" t="s">
        <v>50</v>
      </c>
      <c r="G34" s="16">
        <f>SUMIF('Přehled smluv a faktur'!E3:E73,"=6139",'Přehled smluv a faktur'!C3:C73)</f>
        <v>0</v>
      </c>
      <c r="H34" s="16">
        <f>SUMIF('Přehled smluv a faktur'!H3:H73,"=6139",'Přehled smluv a faktur'!K3:K73)</f>
        <v>0</v>
      </c>
    </row>
    <row r="35" spans="1:8" ht="12">
      <c r="A35" s="15">
        <v>5091</v>
      </c>
      <c r="B35" s="12" t="s">
        <v>34</v>
      </c>
      <c r="C35" s="16">
        <f>SUMIF('Přehled smluv a faktur'!D3:D73,"=5091",'Přehled smluv a faktur'!C3:C73)</f>
        <v>0</v>
      </c>
      <c r="D35" s="16">
        <f>SUMIF('Přehled smluv a faktur'!G3:G73,"=5091",'Přehled smluv a faktur'!K3:K73)</f>
        <v>0</v>
      </c>
      <c r="E35" s="21" t="s">
        <v>121</v>
      </c>
      <c r="F35" s="18" t="s">
        <v>77</v>
      </c>
      <c r="G35" s="20">
        <f>SUM(G30:G34)</f>
        <v>0</v>
      </c>
      <c r="H35" s="20">
        <f>SUM(H30:H34)</f>
        <v>0</v>
      </c>
    </row>
    <row r="36" spans="1:8" ht="12">
      <c r="A36" s="15">
        <v>5093</v>
      </c>
      <c r="B36" s="12" t="s">
        <v>35</v>
      </c>
      <c r="C36" s="16">
        <f>SUMIF('Přehled smluv a faktur'!D3:D73,"=5093",'Přehled smluv a faktur'!C3:C73)</f>
        <v>0</v>
      </c>
      <c r="D36" s="16">
        <f>SUMIF('Přehled smluv a faktur'!G3:G73,"=5093",'Přehled smluv a faktur'!K3:K73)</f>
        <v>0</v>
      </c>
      <c r="E36" s="15">
        <v>6150</v>
      </c>
      <c r="F36" s="12" t="s">
        <v>78</v>
      </c>
      <c r="G36" s="16">
        <f>SUMIF('Přehled smluv a faktur'!E3:E73,"=6150",'Přehled smluv a faktur'!C3:C73)</f>
        <v>0</v>
      </c>
      <c r="H36" s="16">
        <f>SUMIF('Přehled smluv a faktur'!H3:H73,"=6150",'Přehled smluv a faktur'!K3:K73)</f>
        <v>0</v>
      </c>
    </row>
    <row r="37" spans="1:8" ht="12">
      <c r="A37" s="15">
        <v>5095</v>
      </c>
      <c r="B37" s="12" t="s">
        <v>36</v>
      </c>
      <c r="C37" s="16">
        <f>SUMIF('Přehled smluv a faktur'!D3:D73,"=5095",'Přehled smluv a faktur'!C3:C73)</f>
        <v>0</v>
      </c>
      <c r="D37" s="16">
        <f>SUMIF('Přehled smluv a faktur'!G3:G73,"=5095",'Přehled smluv a faktur'!K3:K73)</f>
        <v>0</v>
      </c>
      <c r="E37" s="15">
        <v>6151</v>
      </c>
      <c r="F37" s="12" t="s">
        <v>79</v>
      </c>
      <c r="G37" s="16">
        <f>SUMIF('Přehled smluv a faktur'!E3:E73,"=6151",'Přehled smluv a faktur'!C3:C73)</f>
        <v>0</v>
      </c>
      <c r="H37" s="16">
        <f>SUMIF('Přehled smluv a faktur'!H3:H73,"=6151",'Přehled smluv a faktur'!K3:K73)</f>
        <v>0</v>
      </c>
    </row>
    <row r="38" spans="1:8" ht="12">
      <c r="A38" s="15">
        <v>5099</v>
      </c>
      <c r="B38" s="12" t="s">
        <v>37</v>
      </c>
      <c r="C38" s="16">
        <f>SUMIF('Přehled smluv a faktur'!D3:D73,"=5099",'Přehled smluv a faktur'!C3:C73)</f>
        <v>0</v>
      </c>
      <c r="D38" s="16">
        <f>SUMIF('Přehled smluv a faktur'!G3:G73,"=5099",'Přehled smluv a faktur'!K3:K73)</f>
        <v>0</v>
      </c>
      <c r="E38" s="15">
        <v>6152</v>
      </c>
      <c r="F38" s="12" t="s">
        <v>80</v>
      </c>
      <c r="G38" s="16">
        <f>SUMIF('Přehled smluv a faktur'!E3:E73,"=6152",'Přehled smluv a faktur'!C3:C73)</f>
        <v>0</v>
      </c>
      <c r="H38" s="16">
        <f>SUMIF('Přehled smluv a faktur'!H3:H73,"=6152",'Přehled smluv a faktur'!K3:K73)</f>
        <v>0</v>
      </c>
    </row>
    <row r="39" spans="1:8" ht="12">
      <c r="A39" s="17" t="s">
        <v>111</v>
      </c>
      <c r="B39" s="18" t="s">
        <v>38</v>
      </c>
      <c r="C39" s="19">
        <f>SUM(C34:C38)</f>
        <v>0</v>
      </c>
      <c r="D39" s="19">
        <f>SUM(D34:D38)</f>
        <v>0</v>
      </c>
      <c r="E39" s="15">
        <v>6153</v>
      </c>
      <c r="F39" s="12" t="s">
        <v>73</v>
      </c>
      <c r="G39" s="16">
        <f>SUMIF('Přehled smluv a faktur'!E3:E73,"=6153",'Přehled smluv a faktur'!C3:C73)</f>
        <v>0</v>
      </c>
      <c r="H39" s="16">
        <f>SUMIF('Přehled smluv a faktur'!H3:H73,"=6153",'Přehled smluv a faktur'!K3:K73)</f>
        <v>0</v>
      </c>
    </row>
    <row r="40" spans="1:8" ht="12">
      <c r="A40" s="15">
        <v>5110</v>
      </c>
      <c r="B40" s="12" t="s">
        <v>39</v>
      </c>
      <c r="C40" s="16">
        <f>SUMIF('Přehled smluv a faktur'!D3:D73,"=5110",'Přehled smluv a faktur'!C3:C73)</f>
        <v>0</v>
      </c>
      <c r="D40" s="16">
        <f>SUMIF('Přehled smluv a faktur'!G3:G73,"=5110",'Přehled smluv a faktur'!K3:K73)</f>
        <v>0</v>
      </c>
      <c r="E40" s="15">
        <v>6154</v>
      </c>
      <c r="F40" s="12" t="s">
        <v>52</v>
      </c>
      <c r="G40" s="16">
        <f>SUMIF('Přehled smluv a faktur'!E3:E73,"=6154",'Přehled smluv a faktur'!C3:C73)</f>
        <v>0</v>
      </c>
      <c r="H40" s="16">
        <f>SUMIF('Přehled smluv a faktur'!H3:H73,"=6154",'Přehled smluv a faktur'!K3:K73)</f>
        <v>0</v>
      </c>
    </row>
    <row r="41" spans="1:8" ht="12">
      <c r="A41" s="15">
        <v>5111</v>
      </c>
      <c r="B41" s="12" t="s">
        <v>40</v>
      </c>
      <c r="C41" s="16">
        <f>SUMIF('Přehled smluv a faktur'!D3:D73,"=5111",'Přehled smluv a faktur'!C3:C73)</f>
        <v>0</v>
      </c>
      <c r="D41" s="16">
        <f>SUMIF('Přehled smluv a faktur'!G3:G73,"=5511",'Přehled smluv a faktur'!K3:K73)</f>
        <v>0</v>
      </c>
      <c r="E41" s="15">
        <v>6155</v>
      </c>
      <c r="F41" s="12" t="s">
        <v>53</v>
      </c>
      <c r="G41" s="16">
        <f>SUMIF('Přehled smluv a faktur'!E3:E73,"=6155",'Přehled smluv a faktur'!C3:C73)</f>
        <v>0</v>
      </c>
      <c r="H41" s="16">
        <f>SUMIF('Přehled smluv a faktur'!H3:H73,"=6155",'Přehled smluv a faktur'!K3:K73)</f>
        <v>0</v>
      </c>
    </row>
    <row r="42" spans="1:8" ht="12">
      <c r="A42" s="15">
        <v>5112</v>
      </c>
      <c r="B42" s="12" t="s">
        <v>41</v>
      </c>
      <c r="C42" s="16">
        <f>SUMIF('Přehled smluv a faktur'!D3:D73,"=5112",'Přehled smluv a faktur'!C3:C73)</f>
        <v>0</v>
      </c>
      <c r="D42" s="16">
        <f>SUMIF('Přehled smluv a faktur'!G3:G73,"=5112",'Přehled smluv a faktur'!K3:K73)</f>
        <v>0</v>
      </c>
      <c r="E42" s="15">
        <v>6156</v>
      </c>
      <c r="F42" s="12" t="s">
        <v>54</v>
      </c>
      <c r="G42" s="16">
        <f>SUMIF('Přehled smluv a faktur'!E3:E73,"=6156",'Přehled smluv a faktur'!C3:C73)</f>
        <v>0</v>
      </c>
      <c r="H42" s="16">
        <f>SUMIF('Přehled smluv a faktur'!H3:H73,"=6156",'Přehled smluv a faktur'!K3:K73)</f>
        <v>0</v>
      </c>
    </row>
    <row r="43" spans="1:8" ht="12">
      <c r="A43" s="15">
        <v>5113</v>
      </c>
      <c r="B43" s="12" t="s">
        <v>42</v>
      </c>
      <c r="C43" s="16">
        <f>SUMIF('Přehled smluv a faktur'!D3:D73,"=5113",'Přehled smluv a faktur'!C3:C73)</f>
        <v>0</v>
      </c>
      <c r="D43" s="16">
        <f>SUMIF('Přehled smluv a faktur'!G3:G73,"=5113",'Přehled smluv a faktur'!K3:K73)</f>
        <v>0</v>
      </c>
      <c r="E43" s="15">
        <v>6157</v>
      </c>
      <c r="F43" s="12" t="s">
        <v>55</v>
      </c>
      <c r="G43" s="16">
        <f>SUMIF('Přehled smluv a faktur'!E3:E73,"=6157",'Přehled smluv a faktur'!C3:C73)</f>
        <v>0</v>
      </c>
      <c r="H43" s="16">
        <f>SUMIF('Přehled smluv a faktur'!H3:H73,"=6157",'Přehled smluv a faktur'!K3:K73)</f>
        <v>0</v>
      </c>
    </row>
    <row r="44" spans="1:8" ht="12">
      <c r="A44" s="15">
        <v>5114</v>
      </c>
      <c r="B44" s="12" t="s">
        <v>43</v>
      </c>
      <c r="C44" s="16">
        <f>SUMIF('Přehled smluv a faktur'!D3:D73,"=5114",'Přehled smluv a faktur'!C3:C73)</f>
        <v>0</v>
      </c>
      <c r="D44" s="16">
        <f>SUMIF('Přehled smluv a faktur'!G3:G73,"=5114",'Přehled smluv a faktur'!K3:K73)</f>
        <v>0</v>
      </c>
      <c r="E44" s="15">
        <v>6159</v>
      </c>
      <c r="F44" s="12" t="s">
        <v>56</v>
      </c>
      <c r="G44" s="16">
        <f>SUMIF('Přehled smluv a faktur'!E3:E73,"=6159",'Přehled smluv a faktur'!C3:C73)</f>
        <v>0</v>
      </c>
      <c r="H44" s="16">
        <f>SUMIF('Přehled smluv a faktur'!H3:H73,"=6159",'Přehled smluv a faktur'!K3:K73)</f>
        <v>0</v>
      </c>
    </row>
    <row r="45" spans="1:8" ht="12">
      <c r="A45" s="15">
        <v>5115</v>
      </c>
      <c r="B45" s="12" t="s">
        <v>42</v>
      </c>
      <c r="C45" s="16">
        <f>SUMIF('Přehled smluv a faktur'!D3:D73,"=5115",'Přehled smluv a faktur'!C3:C73)</f>
        <v>0</v>
      </c>
      <c r="D45" s="16">
        <f>SUMIF('Přehled smluv a faktur'!G3:G73,"=5115",'Přehled smluv a faktur'!K3:K73)</f>
        <v>0</v>
      </c>
      <c r="E45" s="18" t="s">
        <v>122</v>
      </c>
      <c r="F45" s="18" t="s">
        <v>57</v>
      </c>
      <c r="G45" s="20">
        <f>SUM(G36:G44)</f>
        <v>0</v>
      </c>
      <c r="H45" s="20">
        <f>SUM(H36:H44)</f>
        <v>0</v>
      </c>
    </row>
    <row r="46" spans="1:8" ht="12">
      <c r="A46" s="15">
        <v>5116</v>
      </c>
      <c r="B46" s="12" t="s">
        <v>44</v>
      </c>
      <c r="C46" s="16">
        <f>SUMIF('Přehled smluv a faktur'!D3:D73,"=5116",'Přehled smluv a faktur'!C3:C73)</f>
        <v>0</v>
      </c>
      <c r="D46" s="16">
        <f>SUMIF('Přehled smluv a faktur'!G3:G73,"=5116",'Přehled smluv a faktur'!K3:K73)</f>
        <v>0</v>
      </c>
      <c r="E46" s="15">
        <v>6170</v>
      </c>
      <c r="F46" s="12" t="s">
        <v>59</v>
      </c>
      <c r="G46" s="16">
        <f>SUMIF('Přehled smluv a faktur'!E3:E73,"=6170",'Přehled smluv a faktur'!C3:C73)</f>
        <v>0</v>
      </c>
      <c r="H46" s="16">
        <f>SUMIF('Přehled smluv a faktur'!H3:H73,"=6170",'Přehled smluv a faktur'!K3:K73)</f>
        <v>0</v>
      </c>
    </row>
    <row r="47" spans="1:8" ht="12">
      <c r="A47" s="15">
        <v>5117</v>
      </c>
      <c r="B47" s="12" t="s">
        <v>45</v>
      </c>
      <c r="C47" s="16">
        <f>SUMIF('Přehled smluv a faktur'!D3:D73,"=5117",'Přehled smluv a faktur'!C3:C73)</f>
        <v>0</v>
      </c>
      <c r="D47" s="16">
        <f>SUMIF('Přehled smluv a faktur'!G3:G73,"=5117",'Přehled smluv a faktur'!K3:K73)</f>
        <v>0</v>
      </c>
      <c r="E47" s="15">
        <v>6171</v>
      </c>
      <c r="F47" s="12" t="s">
        <v>58</v>
      </c>
      <c r="G47" s="16">
        <f>SUMIF('Přehled smluv a faktur'!E3:E73,"=6171",'Přehled smluv a faktur'!C3:C73)</f>
        <v>0</v>
      </c>
      <c r="H47" s="16">
        <f>SUMIF('Přehled smluv a faktur'!H3:H73,"=6171",'Přehled smluv a faktur'!K3:K73)</f>
        <v>0</v>
      </c>
    </row>
    <row r="48" spans="1:8" ht="12">
      <c r="A48" s="15">
        <v>5119</v>
      </c>
      <c r="B48" s="12" t="s">
        <v>46</v>
      </c>
      <c r="C48" s="16">
        <f>SUMIF('Přehled smluv a faktur'!D3:D73,"=5119",'Přehled smluv a faktur'!C3:C73)</f>
        <v>0</v>
      </c>
      <c r="D48" s="16">
        <f>SUMIF('Přehled smluv a faktur'!G3:G73,"=5119",'Přehled smluv a faktur'!K3:K73)</f>
        <v>0</v>
      </c>
      <c r="E48" s="15">
        <v>6172</v>
      </c>
      <c r="F48" s="12" t="s">
        <v>60</v>
      </c>
      <c r="G48" s="16">
        <f>SUMIF('Přehled smluv a faktur'!E3:E73,"=6172",'Přehled smluv a faktur'!C3:C73)</f>
        <v>0</v>
      </c>
      <c r="H48" s="16">
        <f>SUMIF('Přehled smluv a faktur'!H3:H73,"=6172",'Přehled smluv a faktur'!K3:K73)</f>
        <v>0</v>
      </c>
    </row>
    <row r="49" spans="1:8" ht="12">
      <c r="A49" s="17" t="s">
        <v>112</v>
      </c>
      <c r="B49" s="18" t="s">
        <v>47</v>
      </c>
      <c r="C49" s="19">
        <f>SUM(C40:C48)</f>
        <v>0</v>
      </c>
      <c r="D49" s="19">
        <f>SUM(D40:D48)</f>
        <v>0</v>
      </c>
      <c r="E49" s="15">
        <v>6179</v>
      </c>
      <c r="F49" s="12" t="s">
        <v>61</v>
      </c>
      <c r="G49" s="16">
        <f>SUMIF('Přehled smluv a faktur'!E3:E73,"=6179",'Přehled smluv a faktur'!C3:C73)</f>
        <v>0</v>
      </c>
      <c r="H49" s="16">
        <f>SUMIF('Přehled smluv a faktur'!H3:H73,"=6179",'Přehled smluv a faktur'!K3:K73)</f>
        <v>0</v>
      </c>
    </row>
    <row r="50" spans="1:8" ht="12">
      <c r="A50" s="15">
        <v>5130</v>
      </c>
      <c r="B50" s="12" t="s">
        <v>48</v>
      </c>
      <c r="C50" s="16">
        <f>SUMIF('Přehled smluv a faktur'!D3:D73,"=5130",'Přehled smluv a faktur'!C3:C73)</f>
        <v>0</v>
      </c>
      <c r="D50" s="16">
        <f>SUMIF('Přehled smluv a faktur'!G3:G73,"=5130",'Přehled smluv a faktur'!K3:K73)</f>
        <v>0</v>
      </c>
      <c r="E50" s="18" t="s">
        <v>123</v>
      </c>
      <c r="F50" s="18" t="s">
        <v>62</v>
      </c>
      <c r="G50" s="20">
        <f>SUM(G46:G49)</f>
        <v>0</v>
      </c>
      <c r="H50" s="20">
        <f>SUM(H46:H49)</f>
        <v>0</v>
      </c>
    </row>
    <row r="51" spans="1:8" ht="12">
      <c r="A51" s="15">
        <v>5131</v>
      </c>
      <c r="B51" s="12" t="s">
        <v>49</v>
      </c>
      <c r="C51" s="16">
        <f>SUMIF('Přehled smluv a faktur'!D3:D73,"=5131",'Přehled smluv a faktur'!C3:C73)</f>
        <v>0</v>
      </c>
      <c r="D51" s="16">
        <f>SUMIF('Přehled smluv a faktur'!G3:G73,"=5131",'Přehled smluv a faktur'!K3:K73)</f>
        <v>0</v>
      </c>
      <c r="E51" s="18" t="s">
        <v>127</v>
      </c>
      <c r="F51" s="13" t="s">
        <v>63</v>
      </c>
      <c r="G51" s="20">
        <f>G50+G45+G35+G29+G19+G9</f>
        <v>0</v>
      </c>
      <c r="H51" s="20">
        <f>H50+H45+H35+H29+H19+H9</f>
        <v>0</v>
      </c>
    </row>
    <row r="52" spans="1:8" ht="12">
      <c r="A52" s="15">
        <v>5132</v>
      </c>
      <c r="B52" s="12" t="s">
        <v>75</v>
      </c>
      <c r="C52" s="16">
        <f>SUMIF('Přehled smluv a faktur'!D4:D74,"=5132",'Přehled smluv a faktur'!C4:C74)</f>
        <v>0</v>
      </c>
      <c r="D52" s="16">
        <f>SUMIF('Přehled smluv a faktur'!G4:G74,"=5132",'Přehled smluv a faktur'!K4:K74)</f>
        <v>0</v>
      </c>
      <c r="E52" s="12"/>
      <c r="F52" s="88"/>
      <c r="G52" s="88"/>
      <c r="H52" s="88"/>
    </row>
    <row r="53" spans="1:8" ht="12">
      <c r="A53" s="15">
        <v>5133</v>
      </c>
      <c r="B53" s="12" t="s">
        <v>76</v>
      </c>
      <c r="C53" s="16">
        <f>SUMIF('Přehled smluv a faktur'!D5:D75,"=5133",'Přehled smluv a faktur'!C5:C75)</f>
        <v>0</v>
      </c>
      <c r="D53" s="16">
        <f>SUMIF('Přehled smluv a faktur'!G5:G75,"=5133",'Přehled smluv a faktur'!K5:K75)</f>
        <v>0</v>
      </c>
      <c r="E53" s="12"/>
      <c r="F53" s="89"/>
      <c r="G53" s="89"/>
      <c r="H53" s="89"/>
    </row>
    <row r="54" spans="1:8" ht="12">
      <c r="A54" s="15">
        <v>5139</v>
      </c>
      <c r="B54" s="12" t="s">
        <v>113</v>
      </c>
      <c r="C54" s="16">
        <f>SUMIF('Přehled smluv a faktur'!D3:D73,"=5139",'Přehled smluv a faktur'!C3:C73)</f>
        <v>0</v>
      </c>
      <c r="D54" s="16">
        <f>SUMIF('Přehled smluv a faktur'!G3:G73,"=5139",'Přehled smluv a faktur'!K3:K73)</f>
        <v>0</v>
      </c>
      <c r="E54" s="90"/>
      <c r="F54" s="24" t="s">
        <v>65</v>
      </c>
      <c r="G54" s="25">
        <f>C67</f>
        <v>0</v>
      </c>
      <c r="H54" s="26">
        <f>D67</f>
        <v>0</v>
      </c>
    </row>
    <row r="55" spans="1:8" ht="12">
      <c r="A55" s="17" t="s">
        <v>114</v>
      </c>
      <c r="B55" s="18" t="s">
        <v>51</v>
      </c>
      <c r="C55" s="19">
        <f>SUM(C50:C54)</f>
        <v>0</v>
      </c>
      <c r="D55" s="19">
        <f>SUM(D50:D54)</f>
        <v>0</v>
      </c>
      <c r="F55" s="27" t="s">
        <v>66</v>
      </c>
      <c r="G55" s="22">
        <f>G51</f>
        <v>0</v>
      </c>
      <c r="H55" s="28">
        <f>H51</f>
        <v>0</v>
      </c>
    </row>
    <row r="56" spans="1:8" ht="12">
      <c r="A56" s="15">
        <v>5154</v>
      </c>
      <c r="B56" s="12" t="s">
        <v>52</v>
      </c>
      <c r="C56" s="16">
        <f>SUMIF('Přehled smluv a faktur'!D3:D73,"=5154",'Přehled smluv a faktur'!C3:C73)</f>
        <v>0</v>
      </c>
      <c r="D56" s="16">
        <f>SUMIF('Přehled smluv a faktur'!G3:G73,"=5154",'Přehled smluv a faktur'!K3:K73)</f>
        <v>0</v>
      </c>
      <c r="E56" s="12"/>
      <c r="F56" s="29" t="s">
        <v>85</v>
      </c>
      <c r="G56" s="30">
        <f>G55+G54</f>
        <v>0</v>
      </c>
      <c r="H56" s="31">
        <f>H55+H54</f>
        <v>0</v>
      </c>
    </row>
    <row r="57" spans="1:8" ht="12">
      <c r="A57" s="15">
        <v>5155</v>
      </c>
      <c r="B57" s="12" t="s">
        <v>53</v>
      </c>
      <c r="C57" s="16">
        <f>SUMIF('Přehled smluv a faktur'!D3:D73,"=5155",'Přehled smluv a faktur'!C3:C73)</f>
        <v>0</v>
      </c>
      <c r="D57" s="16">
        <f>SUMIF('Přehled smluv a faktur'!G3:G73,"=5155",'Přehled smluv a faktur'!K3:K73)</f>
        <v>0</v>
      </c>
      <c r="E57" s="12"/>
      <c r="F57" s="23"/>
      <c r="G57" s="23"/>
      <c r="H57" s="23"/>
    </row>
    <row r="58" spans="1:8" ht="12">
      <c r="A58" s="15">
        <v>5156</v>
      </c>
      <c r="B58" s="12" t="s">
        <v>54</v>
      </c>
      <c r="C58" s="16">
        <f>SUMIF('Přehled smluv a faktur'!D3:D73,"=5156",'Přehled smluv a faktur'!C3:C73)</f>
        <v>0</v>
      </c>
      <c r="D58" s="16">
        <f>SUMIF('Přehled smluv a faktur'!G3:G73,"=5156",'Přehled smluv a faktur'!K3:K73)</f>
        <v>0</v>
      </c>
      <c r="E58" s="12"/>
      <c r="F58" s="12" t="s">
        <v>86</v>
      </c>
      <c r="G58" s="12"/>
      <c r="H58" s="32" t="e">
        <f>('Přehled smluv a faktur'!L76+'Přehled smluv a faktur'!N76)/'Rozúčtování na řádky'!H56</f>
        <v>#DIV/0!</v>
      </c>
    </row>
    <row r="59" spans="1:8" ht="12">
      <c r="A59" s="15">
        <v>5157</v>
      </c>
      <c r="B59" s="12" t="s">
        <v>55</v>
      </c>
      <c r="C59" s="16">
        <f>SUMIF('Přehled smluv a faktur'!D3:D73,"=5157",'Přehled smluv a faktur'!C3:C73)</f>
        <v>0</v>
      </c>
      <c r="D59" s="16">
        <f>SUMIF('Přehled smluv a faktur'!G3:G73,"=5157",'Přehled smluv a faktur'!K3:K73)</f>
        <v>0</v>
      </c>
      <c r="E59" s="12"/>
      <c r="F59" s="88"/>
      <c r="G59" s="12"/>
      <c r="H59" s="12"/>
    </row>
    <row r="60" spans="1:8" ht="12">
      <c r="A60" s="15">
        <v>5159</v>
      </c>
      <c r="B60" s="12" t="s">
        <v>56</v>
      </c>
      <c r="C60" s="16">
        <f>SUMIF('Přehled smluv a faktur'!D3:D73,"=5159",'Přehled smluv a faktur'!C3:C73)</f>
        <v>0</v>
      </c>
      <c r="D60" s="16">
        <f>SUMIF('Přehled smluv a faktur'!G3:G73,"=5159",'Přehled smluv a faktur'!K3:K73)</f>
        <v>0</v>
      </c>
      <c r="E60" s="12"/>
      <c r="F60" s="87"/>
      <c r="G60" s="23"/>
      <c r="H60" s="23"/>
    </row>
    <row r="61" spans="1:8" ht="12">
      <c r="A61" s="17" t="s">
        <v>115</v>
      </c>
      <c r="B61" s="18" t="s">
        <v>57</v>
      </c>
      <c r="C61" s="19">
        <f>SUM(C56:C60)</f>
        <v>0</v>
      </c>
      <c r="D61" s="19">
        <f>SUM(D56:D60)</f>
        <v>0</v>
      </c>
      <c r="E61" s="12"/>
      <c r="F61" s="88"/>
      <c r="G61" s="12"/>
      <c r="H61" s="12"/>
    </row>
    <row r="62" spans="1:8" ht="12">
      <c r="A62" s="15">
        <v>5170</v>
      </c>
      <c r="B62" s="12" t="s">
        <v>59</v>
      </c>
      <c r="C62" s="16">
        <f>SUMIF('Přehled smluv a faktur'!D3:D73,"=5170",'Přehled smluv a faktur'!C3:C73)</f>
        <v>0</v>
      </c>
      <c r="D62" s="16">
        <f>SUMIF('Přehled smluv a faktur'!G3:G73,"=5170",'Přehled smluv a faktur'!K3:K73)</f>
        <v>0</v>
      </c>
      <c r="E62" s="12"/>
      <c r="F62" s="88"/>
      <c r="G62" s="12"/>
      <c r="H62" s="12"/>
    </row>
    <row r="63" spans="1:8" ht="12">
      <c r="A63" s="15">
        <v>5171</v>
      </c>
      <c r="B63" s="12" t="s">
        <v>58</v>
      </c>
      <c r="C63" s="16">
        <f>SUMIF('Přehled smluv a faktur'!D3:D73,"=5171",'Přehled smluv a faktur'!C3:C73)</f>
        <v>0</v>
      </c>
      <c r="D63" s="16">
        <f>SUMIF('Přehled smluv a faktur'!G3:G73,"=5171",'Přehled smluv a faktur'!K3:K73)</f>
        <v>0</v>
      </c>
      <c r="E63" s="12"/>
      <c r="F63" s="88"/>
      <c r="G63" s="12"/>
      <c r="H63" s="12"/>
    </row>
    <row r="64" spans="1:8" ht="12">
      <c r="A64" s="15">
        <v>5172</v>
      </c>
      <c r="B64" s="12" t="s">
        <v>60</v>
      </c>
      <c r="C64" s="16">
        <f>SUMIF('Přehled smluv a faktur'!D3:D73,"=5172",'Přehled smluv a faktur'!C3:C73)</f>
        <v>0</v>
      </c>
      <c r="D64" s="16">
        <f>SUMIF('Přehled smluv a faktur'!G3:G73,"=5172",'Přehled smluv a faktur'!K3:K73)</f>
        <v>0</v>
      </c>
      <c r="E64" s="12"/>
      <c r="F64" s="23"/>
      <c r="G64" s="23"/>
      <c r="H64" s="23"/>
    </row>
    <row r="65" spans="1:8" ht="12">
      <c r="A65" s="15">
        <v>5179</v>
      </c>
      <c r="B65" s="12" t="s">
        <v>61</v>
      </c>
      <c r="C65" s="16">
        <f>SUMIF('Přehled smluv a faktur'!D3:D73,"=5179",'Přehled smluv a faktur'!C3:C73)</f>
        <v>0</v>
      </c>
      <c r="D65" s="16">
        <f>SUMIF('Přehled smluv a faktur'!G3:G73,"=5179",'Přehled smluv a faktur'!K3:K73)</f>
        <v>0</v>
      </c>
      <c r="E65" s="12"/>
      <c r="F65" s="12"/>
      <c r="G65" s="12"/>
      <c r="H65" s="12"/>
    </row>
    <row r="66" spans="1:8" ht="12">
      <c r="A66" s="17" t="s">
        <v>115</v>
      </c>
      <c r="B66" s="18" t="s">
        <v>62</v>
      </c>
      <c r="C66" s="19">
        <f>SUM(C62:C65)</f>
        <v>0</v>
      </c>
      <c r="D66" s="19">
        <f>SUM(D62:D65)</f>
        <v>0</v>
      </c>
      <c r="E66" s="12"/>
      <c r="F66" s="12"/>
      <c r="G66" s="12"/>
      <c r="H66" s="88"/>
    </row>
    <row r="67" spans="1:8" ht="12">
      <c r="A67" s="17" t="s">
        <v>126</v>
      </c>
      <c r="B67" s="13" t="s">
        <v>63</v>
      </c>
      <c r="C67" s="19">
        <f>C66+C61+C49+C39+C33+C23+C13+C8+C55</f>
        <v>0</v>
      </c>
      <c r="D67" s="19">
        <f>D66+D61+D49+D39+D33+D23+D13+D8+D55</f>
        <v>0</v>
      </c>
      <c r="E67" s="12"/>
      <c r="F67" s="12"/>
      <c r="G67" s="12"/>
      <c r="H67" s="12"/>
    </row>
    <row r="68" spans="5:6" ht="12">
      <c r="E68" s="10"/>
      <c r="F68" s="10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51"/>
  <sheetViews>
    <sheetView tabSelected="1" zoomScalePageLayoutView="0" workbookViewId="0" topLeftCell="A1">
      <selection activeCell="D2" sqref="D2"/>
    </sheetView>
  </sheetViews>
  <sheetFormatPr defaultColWidth="0" defaultRowHeight="9.75" customHeight="1" zeroHeight="1"/>
  <cols>
    <col min="1" max="1" width="39.00390625" style="46" customWidth="1"/>
    <col min="2" max="2" width="21.00390625" style="49" customWidth="1"/>
    <col min="3" max="3" width="21.28125" style="46" customWidth="1"/>
    <col min="4" max="4" width="15.7109375" style="46" customWidth="1"/>
    <col min="5" max="5" width="15.57421875" style="52" customWidth="1"/>
    <col min="6" max="6" width="16.7109375" style="46" customWidth="1"/>
    <col min="7" max="7" width="14.8515625" style="46" customWidth="1"/>
    <col min="8" max="16384" width="0" style="46" hidden="1" customWidth="1"/>
  </cols>
  <sheetData>
    <row r="1" spans="1:6" ht="18" customHeight="1">
      <c r="A1" s="174" t="s">
        <v>88</v>
      </c>
      <c r="B1" s="174"/>
      <c r="C1" s="174"/>
      <c r="D1" s="114" t="s">
        <v>149</v>
      </c>
      <c r="E1" s="47"/>
      <c r="F1" s="48"/>
    </row>
    <row r="2" spans="1:4" ht="23.25" customHeight="1">
      <c r="A2" s="113" t="s">
        <v>134</v>
      </c>
      <c r="B2" s="73"/>
      <c r="C2" s="51"/>
      <c r="D2" s="51"/>
    </row>
    <row r="3" spans="1:6" ht="32.25" customHeight="1">
      <c r="A3" s="116" t="s">
        <v>89</v>
      </c>
      <c r="B3" s="117" t="s">
        <v>133</v>
      </c>
      <c r="C3" s="118" t="s">
        <v>132</v>
      </c>
      <c r="D3" s="119" t="s">
        <v>90</v>
      </c>
      <c r="E3" s="120" t="s">
        <v>91</v>
      </c>
      <c r="F3" s="53"/>
    </row>
    <row r="4" spans="1:6" ht="18" customHeight="1">
      <c r="A4" s="54"/>
      <c r="B4" s="55"/>
      <c r="C4" s="56"/>
      <c r="D4" s="57"/>
      <c r="E4" s="58">
        <f>IF(D4=0,"",C4/D4)</f>
      </c>
      <c r="F4" s="59"/>
    </row>
    <row r="5" spans="1:6" ht="18" customHeight="1">
      <c r="A5" s="60"/>
      <c r="B5" s="61"/>
      <c r="C5" s="62"/>
      <c r="D5" s="63"/>
      <c r="E5" s="58">
        <f>IF(D5=0,"",C5/D5)</f>
      </c>
      <c r="F5" s="64"/>
    </row>
    <row r="6" spans="1:6" ht="18" customHeight="1">
      <c r="A6" s="60"/>
      <c r="B6" s="61"/>
      <c r="C6" s="62"/>
      <c r="D6" s="63"/>
      <c r="E6" s="58">
        <f>IF(D6=0,"",C6/D6)</f>
      </c>
      <c r="F6" s="64"/>
    </row>
    <row r="7" spans="1:6" ht="18" customHeight="1">
      <c r="A7" s="65"/>
      <c r="B7" s="66"/>
      <c r="C7" s="67"/>
      <c r="D7" s="68"/>
      <c r="E7" s="103">
        <f>IF(D7=0,"",C7/D7)</f>
      </c>
      <c r="F7" s="64"/>
    </row>
    <row r="8" spans="1:4" ht="11.25" customHeight="1">
      <c r="A8" s="69"/>
      <c r="B8" s="50"/>
      <c r="C8" s="51"/>
      <c r="D8" s="70"/>
    </row>
    <row r="9" spans="1:5" ht="11.25" customHeight="1">
      <c r="A9" s="51"/>
      <c r="B9" s="71"/>
      <c r="C9" s="72"/>
      <c r="D9" s="72"/>
      <c r="E9" s="72"/>
    </row>
    <row r="10" spans="1:5" ht="19.5" customHeight="1">
      <c r="A10" s="113" t="s">
        <v>94</v>
      </c>
      <c r="B10" s="71"/>
      <c r="C10" s="72"/>
      <c r="D10" s="72"/>
      <c r="E10" s="72"/>
    </row>
    <row r="11" spans="1:6" ht="11.25" customHeight="1">
      <c r="A11" s="175" t="s">
        <v>95</v>
      </c>
      <c r="B11" s="177" t="s">
        <v>96</v>
      </c>
      <c r="C11" s="166" t="s">
        <v>128</v>
      </c>
      <c r="D11" s="175" t="s">
        <v>92</v>
      </c>
      <c r="E11" s="175" t="s">
        <v>97</v>
      </c>
      <c r="F11" s="171" t="s">
        <v>93</v>
      </c>
    </row>
    <row r="12" spans="1:6" ht="19.5" customHeight="1">
      <c r="A12" s="176"/>
      <c r="B12" s="178"/>
      <c r="C12" s="167"/>
      <c r="D12" s="176"/>
      <c r="E12" s="176"/>
      <c r="F12" s="171"/>
    </row>
    <row r="13" spans="1:6" ht="18" customHeight="1">
      <c r="A13" s="121"/>
      <c r="B13" s="122"/>
      <c r="C13" s="122"/>
      <c r="D13" s="122"/>
      <c r="E13" s="122"/>
      <c r="F13" s="123"/>
    </row>
    <row r="14" spans="1:6" ht="18" customHeight="1">
      <c r="A14" s="124"/>
      <c r="B14" s="125"/>
      <c r="C14" s="126"/>
      <c r="D14" s="126"/>
      <c r="E14" s="125"/>
      <c r="F14" s="106"/>
    </row>
    <row r="15" spans="1:6" ht="18" customHeight="1">
      <c r="A15" s="127"/>
      <c r="B15" s="128"/>
      <c r="C15" s="129"/>
      <c r="D15" s="129"/>
      <c r="E15" s="128"/>
      <c r="F15" s="130"/>
    </row>
    <row r="16" spans="1:5" ht="11.25" customHeight="1">
      <c r="A16" s="51"/>
      <c r="B16" s="71"/>
      <c r="C16" s="72"/>
      <c r="D16" s="72"/>
      <c r="E16" s="72"/>
    </row>
    <row r="17" spans="1:5" ht="15.75" customHeight="1">
      <c r="A17" s="113" t="s">
        <v>98</v>
      </c>
      <c r="B17" s="71"/>
      <c r="C17" s="72"/>
      <c r="D17" s="72"/>
      <c r="E17" s="72"/>
    </row>
    <row r="18" spans="1:6" ht="11.25" customHeight="1">
      <c r="A18" s="175" t="s">
        <v>99</v>
      </c>
      <c r="B18" s="177" t="s">
        <v>96</v>
      </c>
      <c r="C18" s="166" t="s">
        <v>138</v>
      </c>
      <c r="D18" s="171" t="s">
        <v>92</v>
      </c>
      <c r="E18" s="171" t="s">
        <v>97</v>
      </c>
      <c r="F18" s="171" t="s">
        <v>93</v>
      </c>
    </row>
    <row r="19" spans="1:6" ht="26.25" customHeight="1">
      <c r="A19" s="176"/>
      <c r="B19" s="178"/>
      <c r="C19" s="167"/>
      <c r="D19" s="171"/>
      <c r="E19" s="171"/>
      <c r="F19" s="171"/>
    </row>
    <row r="20" spans="1:6" ht="18" customHeight="1">
      <c r="A20" s="121"/>
      <c r="B20" s="125"/>
      <c r="C20" s="122"/>
      <c r="D20" s="122"/>
      <c r="E20" s="122"/>
      <c r="F20" s="123"/>
    </row>
    <row r="21" spans="1:6" ht="18" customHeight="1">
      <c r="A21" s="124"/>
      <c r="B21" s="125"/>
      <c r="C21" s="131"/>
      <c r="D21" s="126"/>
      <c r="E21" s="125"/>
      <c r="F21" s="132"/>
    </row>
    <row r="22" spans="1:6" ht="18" customHeight="1">
      <c r="A22" s="124"/>
      <c r="B22" s="125"/>
      <c r="C22" s="126"/>
      <c r="D22" s="126"/>
      <c r="E22" s="125"/>
      <c r="F22" s="133"/>
    </row>
    <row r="23" spans="1:6" ht="18" customHeight="1">
      <c r="A23" s="124"/>
      <c r="B23" s="125"/>
      <c r="C23" s="131"/>
      <c r="D23" s="126"/>
      <c r="E23" s="125"/>
      <c r="F23" s="132"/>
    </row>
    <row r="24" spans="1:6" ht="18" customHeight="1">
      <c r="A24" s="124"/>
      <c r="B24" s="125"/>
      <c r="C24" s="126"/>
      <c r="D24" s="126"/>
      <c r="E24" s="125"/>
      <c r="F24" s="133"/>
    </row>
    <row r="25" spans="1:6" ht="18" customHeight="1">
      <c r="A25" s="124"/>
      <c r="B25" s="125"/>
      <c r="C25" s="126"/>
      <c r="D25" s="126"/>
      <c r="E25" s="125"/>
      <c r="F25" s="133"/>
    </row>
    <row r="26" spans="1:6" ht="18" customHeight="1">
      <c r="A26" s="124"/>
      <c r="B26" s="125"/>
      <c r="C26" s="126"/>
      <c r="D26" s="126"/>
      <c r="E26" s="125"/>
      <c r="F26" s="133"/>
    </row>
    <row r="27" spans="1:6" ht="18" customHeight="1">
      <c r="A27" s="134"/>
      <c r="B27" s="135"/>
      <c r="C27" s="136"/>
      <c r="D27" s="136"/>
      <c r="E27" s="135"/>
      <c r="F27" s="137"/>
    </row>
    <row r="28" spans="1:6" ht="18" customHeight="1">
      <c r="A28" s="134"/>
      <c r="B28" s="135"/>
      <c r="C28" s="136"/>
      <c r="D28" s="136"/>
      <c r="E28" s="135"/>
      <c r="F28" s="137"/>
    </row>
    <row r="29" spans="1:6" ht="18" customHeight="1">
      <c r="A29" s="127"/>
      <c r="B29" s="128"/>
      <c r="C29" s="129"/>
      <c r="D29" s="129"/>
      <c r="E29" s="128"/>
      <c r="F29" s="138"/>
    </row>
    <row r="30" spans="1:5" ht="11.25" customHeight="1">
      <c r="A30" s="51"/>
      <c r="B30" s="71"/>
      <c r="C30" s="72"/>
      <c r="D30" s="72"/>
      <c r="E30" s="72"/>
    </row>
    <row r="31" spans="1:5" ht="22.5" customHeight="1">
      <c r="A31" s="113" t="s">
        <v>135</v>
      </c>
      <c r="B31" s="71"/>
      <c r="C31" s="72"/>
      <c r="D31" s="72"/>
      <c r="E31" s="72"/>
    </row>
    <row r="32" spans="1:6" ht="11.25" customHeight="1">
      <c r="A32" s="181"/>
      <c r="B32" s="172" t="s">
        <v>131</v>
      </c>
      <c r="C32" s="173"/>
      <c r="D32" s="173"/>
      <c r="E32" s="173"/>
      <c r="F32" s="171" t="s">
        <v>100</v>
      </c>
    </row>
    <row r="33" spans="1:6" ht="11.25" customHeight="1">
      <c r="A33" s="181"/>
      <c r="B33" s="139">
        <v>2016</v>
      </c>
      <c r="C33" s="139">
        <v>2017</v>
      </c>
      <c r="D33" s="139">
        <v>2018</v>
      </c>
      <c r="E33" s="139">
        <v>2019</v>
      </c>
      <c r="F33" s="171"/>
    </row>
    <row r="34" spans="1:6" ht="18" customHeight="1">
      <c r="A34" s="105" t="s">
        <v>130</v>
      </c>
      <c r="B34" s="76"/>
      <c r="C34" s="76"/>
      <c r="D34" s="76"/>
      <c r="E34" s="76"/>
      <c r="F34" s="168">
        <f>B39+C39+D39+E39</f>
        <v>0</v>
      </c>
    </row>
    <row r="35" spans="1:6" ht="18" customHeight="1">
      <c r="A35" s="74"/>
      <c r="B35" s="77"/>
      <c r="C35" s="77"/>
      <c r="D35" s="77"/>
      <c r="E35" s="77"/>
      <c r="F35" s="169"/>
    </row>
    <row r="36" spans="1:6" ht="18" customHeight="1">
      <c r="A36" s="74"/>
      <c r="B36" s="77"/>
      <c r="C36" s="77"/>
      <c r="D36" s="77"/>
      <c r="E36" s="77"/>
      <c r="F36" s="169"/>
    </row>
    <row r="37" spans="1:6" ht="18" customHeight="1">
      <c r="A37" s="74"/>
      <c r="B37" s="77"/>
      <c r="C37" s="77"/>
      <c r="D37" s="77"/>
      <c r="E37" s="77"/>
      <c r="F37" s="169"/>
    </row>
    <row r="38" spans="1:6" ht="18" customHeight="1">
      <c r="A38" s="78"/>
      <c r="B38" s="79"/>
      <c r="C38" s="79"/>
      <c r="D38" s="79"/>
      <c r="E38" s="79"/>
      <c r="F38" s="169"/>
    </row>
    <row r="39" spans="1:6" ht="18" customHeight="1">
      <c r="A39" s="75" t="s">
        <v>100</v>
      </c>
      <c r="B39" s="80">
        <f>SUM(B34:B38)</f>
        <v>0</v>
      </c>
      <c r="C39" s="80">
        <f>SUM(C34:C38)</f>
        <v>0</v>
      </c>
      <c r="D39" s="80">
        <f>SUM(D34:D38)</f>
        <v>0</v>
      </c>
      <c r="E39" s="80">
        <f>SUM(E34:E38)</f>
        <v>0</v>
      </c>
      <c r="F39" s="170"/>
    </row>
    <row r="40" spans="1:253" s="104" customFormat="1" ht="18" customHeight="1">
      <c r="A40" s="71"/>
      <c r="B40" s="72"/>
      <c r="C40" s="72"/>
      <c r="D40" s="51"/>
      <c r="E40" s="71"/>
      <c r="F40" s="72"/>
      <c r="G40" s="71"/>
      <c r="H40" s="72"/>
      <c r="I40" s="72"/>
      <c r="J40" s="51"/>
      <c r="K40" s="71"/>
      <c r="L40" s="72"/>
      <c r="M40" s="72"/>
      <c r="N40" s="51"/>
      <c r="O40" s="71"/>
      <c r="P40" s="72"/>
      <c r="Q40" s="72"/>
      <c r="R40" s="51"/>
      <c r="S40" s="71"/>
      <c r="T40" s="72"/>
      <c r="U40" s="72"/>
      <c r="V40" s="51"/>
      <c r="W40" s="71"/>
      <c r="X40" s="72"/>
      <c r="Y40" s="72"/>
      <c r="Z40" s="51"/>
      <c r="AA40" s="71"/>
      <c r="AB40" s="72"/>
      <c r="AC40" s="72"/>
      <c r="AD40" s="51"/>
      <c r="AE40" s="71"/>
      <c r="AF40" s="72"/>
      <c r="AG40" s="72"/>
      <c r="AH40" s="51"/>
      <c r="AI40" s="71"/>
      <c r="AJ40" s="72"/>
      <c r="AK40" s="72"/>
      <c r="AL40" s="51"/>
      <c r="AM40" s="71"/>
      <c r="AN40" s="72"/>
      <c r="AO40" s="72"/>
      <c r="AP40" s="51"/>
      <c r="AQ40" s="71"/>
      <c r="AR40" s="72"/>
      <c r="AS40" s="72"/>
      <c r="AT40" s="51"/>
      <c r="AU40" s="71"/>
      <c r="AV40" s="72"/>
      <c r="AW40" s="72"/>
      <c r="AX40" s="51"/>
      <c r="AY40" s="71"/>
      <c r="AZ40" s="72"/>
      <c r="BA40" s="72"/>
      <c r="BB40" s="51"/>
      <c r="BC40" s="71"/>
      <c r="BD40" s="72"/>
      <c r="BE40" s="72"/>
      <c r="BF40" s="51"/>
      <c r="BG40" s="71"/>
      <c r="BH40" s="72"/>
      <c r="BI40" s="72"/>
      <c r="BJ40" s="51"/>
      <c r="BK40" s="71"/>
      <c r="BL40" s="72"/>
      <c r="BM40" s="72"/>
      <c r="BN40" s="51"/>
      <c r="BO40" s="71"/>
      <c r="BP40" s="72"/>
      <c r="BQ40" s="72"/>
      <c r="BR40" s="51"/>
      <c r="BS40" s="71"/>
      <c r="BT40" s="72"/>
      <c r="BU40" s="72"/>
      <c r="BV40" s="51"/>
      <c r="BW40" s="71"/>
      <c r="BX40" s="72"/>
      <c r="BY40" s="72"/>
      <c r="BZ40" s="51"/>
      <c r="CA40" s="71"/>
      <c r="CB40" s="72"/>
      <c r="CC40" s="72"/>
      <c r="CD40" s="51"/>
      <c r="CE40" s="71"/>
      <c r="CF40" s="72"/>
      <c r="CG40" s="72"/>
      <c r="CH40" s="51"/>
      <c r="CI40" s="71"/>
      <c r="CJ40" s="72"/>
      <c r="CK40" s="72"/>
      <c r="CL40" s="51"/>
      <c r="CM40" s="71"/>
      <c r="CN40" s="72"/>
      <c r="CO40" s="72"/>
      <c r="CP40" s="51"/>
      <c r="CQ40" s="71"/>
      <c r="CR40" s="72"/>
      <c r="CS40" s="72"/>
      <c r="CT40" s="51"/>
      <c r="CU40" s="71"/>
      <c r="CV40" s="72"/>
      <c r="CW40" s="72"/>
      <c r="CX40" s="51"/>
      <c r="CY40" s="71"/>
      <c r="CZ40" s="72"/>
      <c r="DA40" s="72"/>
      <c r="DB40" s="51"/>
      <c r="DC40" s="71"/>
      <c r="DD40" s="72"/>
      <c r="DE40" s="72"/>
      <c r="DF40" s="51"/>
      <c r="DG40" s="71"/>
      <c r="DH40" s="72"/>
      <c r="DI40" s="72"/>
      <c r="DJ40" s="51"/>
      <c r="DK40" s="71"/>
      <c r="DL40" s="72"/>
      <c r="DM40" s="72"/>
      <c r="DN40" s="51"/>
      <c r="DO40" s="71"/>
      <c r="DP40" s="72"/>
      <c r="DQ40" s="72"/>
      <c r="DR40" s="51"/>
      <c r="DS40" s="71"/>
      <c r="DT40" s="72"/>
      <c r="DU40" s="72"/>
      <c r="DV40" s="51"/>
      <c r="DW40" s="71"/>
      <c r="DX40" s="72"/>
      <c r="DY40" s="72"/>
      <c r="DZ40" s="51"/>
      <c r="EA40" s="71"/>
      <c r="EB40" s="72"/>
      <c r="EC40" s="72"/>
      <c r="ED40" s="51"/>
      <c r="EE40" s="71"/>
      <c r="EF40" s="72"/>
      <c r="EG40" s="72"/>
      <c r="EH40" s="51"/>
      <c r="EI40" s="71"/>
      <c r="EJ40" s="72"/>
      <c r="EK40" s="72"/>
      <c r="EL40" s="51"/>
      <c r="EM40" s="71"/>
      <c r="EN40" s="72"/>
      <c r="EO40" s="72"/>
      <c r="EP40" s="51"/>
      <c r="EQ40" s="71"/>
      <c r="ER40" s="72"/>
      <c r="ES40" s="72"/>
      <c r="ET40" s="51"/>
      <c r="EU40" s="71"/>
      <c r="EV40" s="72"/>
      <c r="EW40" s="72"/>
      <c r="EX40" s="51"/>
      <c r="EY40" s="71"/>
      <c r="EZ40" s="72"/>
      <c r="FA40" s="72"/>
      <c r="FB40" s="51"/>
      <c r="FC40" s="71"/>
      <c r="FD40" s="72"/>
      <c r="FE40" s="72"/>
      <c r="FF40" s="51"/>
      <c r="FG40" s="71"/>
      <c r="FH40" s="72"/>
      <c r="FI40" s="72"/>
      <c r="FJ40" s="51"/>
      <c r="FK40" s="71"/>
      <c r="FL40" s="72"/>
      <c r="FM40" s="72"/>
      <c r="FN40" s="51"/>
      <c r="FO40" s="71"/>
      <c r="FP40" s="72"/>
      <c r="FQ40" s="72"/>
      <c r="FR40" s="51"/>
      <c r="FS40" s="71"/>
      <c r="FT40" s="72"/>
      <c r="FU40" s="72"/>
      <c r="FV40" s="51"/>
      <c r="FW40" s="71"/>
      <c r="FX40" s="72"/>
      <c r="FY40" s="72"/>
      <c r="FZ40" s="51"/>
      <c r="GA40" s="71"/>
      <c r="GB40" s="72"/>
      <c r="GC40" s="72"/>
      <c r="GD40" s="51"/>
      <c r="GE40" s="71"/>
      <c r="GF40" s="72"/>
      <c r="GG40" s="72"/>
      <c r="GH40" s="51"/>
      <c r="GI40" s="71"/>
      <c r="GJ40" s="72"/>
      <c r="GK40" s="72"/>
      <c r="GL40" s="51"/>
      <c r="GM40" s="71"/>
      <c r="GN40" s="72"/>
      <c r="GO40" s="72"/>
      <c r="GP40" s="51"/>
      <c r="GQ40" s="71"/>
      <c r="GR40" s="72"/>
      <c r="GS40" s="72"/>
      <c r="GT40" s="51"/>
      <c r="GU40" s="71"/>
      <c r="GV40" s="72"/>
      <c r="GW40" s="72"/>
      <c r="GX40" s="51"/>
      <c r="GY40" s="71"/>
      <c r="GZ40" s="72"/>
      <c r="HA40" s="72"/>
      <c r="HB40" s="51"/>
      <c r="HC40" s="71"/>
      <c r="HD40" s="72"/>
      <c r="HE40" s="72"/>
      <c r="HF40" s="51"/>
      <c r="HG40" s="71"/>
      <c r="HH40" s="72"/>
      <c r="HI40" s="72"/>
      <c r="HJ40" s="51"/>
      <c r="HK40" s="71"/>
      <c r="HL40" s="72"/>
      <c r="HM40" s="72"/>
      <c r="HN40" s="51"/>
      <c r="HO40" s="71"/>
      <c r="HP40" s="72"/>
      <c r="HQ40" s="72"/>
      <c r="HR40" s="51"/>
      <c r="HS40" s="71"/>
      <c r="HT40" s="72"/>
      <c r="HU40" s="72"/>
      <c r="HV40" s="51"/>
      <c r="HW40" s="71"/>
      <c r="HX40" s="72"/>
      <c r="HY40" s="72"/>
      <c r="HZ40" s="51"/>
      <c r="IA40" s="71"/>
      <c r="IB40" s="72"/>
      <c r="IC40" s="72"/>
      <c r="ID40" s="51"/>
      <c r="IE40" s="71"/>
      <c r="IF40" s="72"/>
      <c r="IG40" s="72"/>
      <c r="IH40" s="51"/>
      <c r="II40" s="71"/>
      <c r="IJ40" s="72"/>
      <c r="IK40" s="72"/>
      <c r="IL40" s="51"/>
      <c r="IM40" s="71"/>
      <c r="IN40" s="72"/>
      <c r="IO40" s="72"/>
      <c r="IP40" s="51"/>
      <c r="IQ40" s="71"/>
      <c r="IR40" s="72"/>
      <c r="IS40" s="72"/>
    </row>
    <row r="41" spans="1:5" ht="23.25" customHeight="1">
      <c r="A41" s="113" t="s">
        <v>129</v>
      </c>
      <c r="B41" s="81"/>
      <c r="C41" s="81"/>
      <c r="D41" s="81"/>
      <c r="E41" s="81"/>
    </row>
    <row r="42" spans="1:6" ht="11.25" customHeight="1">
      <c r="A42" s="179"/>
      <c r="B42" s="172" t="s">
        <v>131</v>
      </c>
      <c r="C42" s="173"/>
      <c r="D42" s="173"/>
      <c r="E42" s="173"/>
      <c r="F42" s="171" t="s">
        <v>101</v>
      </c>
    </row>
    <row r="43" spans="1:6" ht="11.25" customHeight="1">
      <c r="A43" s="180"/>
      <c r="B43" s="139">
        <f>B33</f>
        <v>2016</v>
      </c>
      <c r="C43" s="139">
        <f>C33</f>
        <v>2017</v>
      </c>
      <c r="D43" s="139">
        <f>D33</f>
        <v>2018</v>
      </c>
      <c r="E43" s="139">
        <f>E33</f>
        <v>2019</v>
      </c>
      <c r="F43" s="171"/>
    </row>
    <row r="44" spans="1:6" ht="18" customHeight="1">
      <c r="A44" s="105" t="s">
        <v>102</v>
      </c>
      <c r="B44" s="76"/>
      <c r="C44" s="76"/>
      <c r="D44" s="76"/>
      <c r="E44" s="76"/>
      <c r="F44" s="162">
        <f>B44+C44+D44+E44</f>
        <v>0</v>
      </c>
    </row>
    <row r="45" spans="1:6" ht="18" customHeight="1">
      <c r="A45" s="106" t="s">
        <v>103</v>
      </c>
      <c r="B45" s="77"/>
      <c r="C45" s="77"/>
      <c r="D45" s="77"/>
      <c r="E45" s="77"/>
      <c r="F45" s="163"/>
    </row>
    <row r="46" spans="1:6" ht="18" customHeight="1">
      <c r="A46" s="106"/>
      <c r="B46" s="77"/>
      <c r="C46" s="77"/>
      <c r="D46" s="77"/>
      <c r="E46" s="77"/>
      <c r="F46" s="164"/>
    </row>
    <row r="47" spans="1:6" ht="18" customHeight="1">
      <c r="A47" s="78"/>
      <c r="B47" s="79"/>
      <c r="C47" s="79"/>
      <c r="D47" s="79"/>
      <c r="E47" s="79"/>
      <c r="F47" s="165"/>
    </row>
    <row r="48" spans="1:5" ht="11.25" customHeight="1">
      <c r="A48" s="51"/>
      <c r="B48" s="81"/>
      <c r="C48" s="81"/>
      <c r="D48" s="81"/>
      <c r="E48" s="81"/>
    </row>
    <row r="49" ht="9.75"/>
    <row r="50" spans="1:2" ht="11.25">
      <c r="A50" s="107" t="s">
        <v>136</v>
      </c>
      <c r="B50" s="46"/>
    </row>
    <row r="51" spans="1:5" s="1" customFormat="1" ht="11.25">
      <c r="A51" s="107"/>
      <c r="B51" s="82"/>
      <c r="E51" s="83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</sheetData>
  <sheetProtection/>
  <mergeCells count="21">
    <mergeCell ref="A18:A19"/>
    <mergeCell ref="B18:B19"/>
    <mergeCell ref="A32:A33"/>
    <mergeCell ref="D11:D12"/>
    <mergeCell ref="A1:C1"/>
    <mergeCell ref="A11:A12"/>
    <mergeCell ref="B11:B12"/>
    <mergeCell ref="C11:C12"/>
    <mergeCell ref="F42:F43"/>
    <mergeCell ref="B42:E42"/>
    <mergeCell ref="A42:A43"/>
    <mergeCell ref="F11:F12"/>
    <mergeCell ref="F18:F19"/>
    <mergeCell ref="E11:E12"/>
    <mergeCell ref="F44:F47"/>
    <mergeCell ref="C18:C19"/>
    <mergeCell ref="F34:F39"/>
    <mergeCell ref="D18:D19"/>
    <mergeCell ref="E18:E19"/>
    <mergeCell ref="B32:E32"/>
    <mergeCell ref="F32:F33"/>
  </mergeCells>
  <printOptions/>
  <pageMargins left="0.787401575" right="0.787401575" top="0.984251969" bottom="0.984251969" header="0.4921259845" footer="0.4921259845"/>
  <pageSetup horizontalDpi="600" verticalDpi="600" orientation="portrait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2" width="9.140625" style="99" customWidth="1"/>
  </cols>
  <sheetData>
    <row r="1" spans="1:3" ht="12.75">
      <c r="A1" s="95">
        <v>5010</v>
      </c>
      <c r="B1" s="100">
        <v>6010</v>
      </c>
      <c r="C1" s="91" t="s">
        <v>124</v>
      </c>
    </row>
    <row r="2" spans="1:3" ht="12.75">
      <c r="A2" s="95">
        <v>5011</v>
      </c>
      <c r="B2" s="100">
        <v>6011</v>
      </c>
      <c r="C2" s="92" t="s">
        <v>125</v>
      </c>
    </row>
    <row r="3" spans="1:2" ht="12.75">
      <c r="A3" s="95">
        <v>5012</v>
      </c>
      <c r="B3" s="100">
        <v>6012</v>
      </c>
    </row>
    <row r="4" spans="1:2" ht="12.75">
      <c r="A4" s="95">
        <v>5014</v>
      </c>
      <c r="B4" s="100">
        <v>6013</v>
      </c>
    </row>
    <row r="5" spans="1:2" ht="12.75">
      <c r="A5" s="95">
        <v>5019</v>
      </c>
      <c r="B5" s="100">
        <v>6014</v>
      </c>
    </row>
    <row r="6" spans="1:2" ht="12.75">
      <c r="A6" s="95">
        <v>5030</v>
      </c>
      <c r="B6" s="100">
        <v>6019</v>
      </c>
    </row>
    <row r="7" spans="1:2" ht="12.75">
      <c r="A7" s="95">
        <v>5031</v>
      </c>
      <c r="B7" s="100">
        <v>6090</v>
      </c>
    </row>
    <row r="8" spans="1:2" ht="12.75">
      <c r="A8" s="95">
        <v>5032</v>
      </c>
      <c r="B8" s="100">
        <v>6091</v>
      </c>
    </row>
    <row r="9" spans="1:2" ht="12.75">
      <c r="A9" s="95">
        <v>5039</v>
      </c>
      <c r="B9" s="100">
        <v>6092</v>
      </c>
    </row>
    <row r="10" spans="1:2" ht="12.75">
      <c r="A10" s="95">
        <v>5050</v>
      </c>
      <c r="B10" s="100">
        <v>6093</v>
      </c>
    </row>
    <row r="11" spans="1:2" ht="12.75">
      <c r="A11" s="95">
        <v>5051</v>
      </c>
      <c r="B11" s="100">
        <v>6094</v>
      </c>
    </row>
    <row r="12" spans="1:2" ht="12.75">
      <c r="A12" s="95">
        <v>5052</v>
      </c>
      <c r="B12" s="100">
        <v>6095</v>
      </c>
    </row>
    <row r="13" spans="1:2" ht="12.75">
      <c r="A13" s="95">
        <v>5053</v>
      </c>
      <c r="B13" s="100">
        <v>6096</v>
      </c>
    </row>
    <row r="14" spans="1:2" ht="12.75">
      <c r="A14" s="95">
        <v>5054</v>
      </c>
      <c r="B14" s="100">
        <v>6097</v>
      </c>
    </row>
    <row r="15" spans="1:2" ht="12.75">
      <c r="A15" s="95">
        <v>5055</v>
      </c>
      <c r="B15" s="100">
        <v>6099</v>
      </c>
    </row>
    <row r="16" spans="1:2" ht="12.75">
      <c r="A16" s="95">
        <v>5056</v>
      </c>
      <c r="B16" s="100">
        <v>6110</v>
      </c>
    </row>
    <row r="17" spans="1:2" ht="12.75">
      <c r="A17" s="95">
        <v>5057</v>
      </c>
      <c r="B17" s="100">
        <v>6111</v>
      </c>
    </row>
    <row r="18" spans="1:2" ht="12.75">
      <c r="A18" s="95">
        <v>5058</v>
      </c>
      <c r="B18" s="100">
        <v>6112</v>
      </c>
    </row>
    <row r="19" spans="1:2" ht="12.75">
      <c r="A19" s="95">
        <v>5070</v>
      </c>
      <c r="B19" s="100">
        <v>6113</v>
      </c>
    </row>
    <row r="20" spans="1:2" ht="12.75">
      <c r="A20" s="95">
        <v>5071</v>
      </c>
      <c r="B20" s="100">
        <v>6114</v>
      </c>
    </row>
    <row r="21" spans="1:2" ht="12.75">
      <c r="A21" s="95">
        <v>5072</v>
      </c>
      <c r="B21" s="100">
        <v>6115</v>
      </c>
    </row>
    <row r="22" spans="1:2" ht="12.75">
      <c r="A22" s="95">
        <v>5073</v>
      </c>
      <c r="B22" s="100">
        <v>6116</v>
      </c>
    </row>
    <row r="23" spans="1:2" ht="12.75">
      <c r="A23" s="95">
        <v>5074</v>
      </c>
      <c r="B23" s="100">
        <v>6117</v>
      </c>
    </row>
    <row r="24" spans="1:2" ht="12.75">
      <c r="A24" s="95">
        <v>5075</v>
      </c>
      <c r="B24" s="100">
        <v>6119</v>
      </c>
    </row>
    <row r="25" spans="1:2" ht="12.75">
      <c r="A25" s="95">
        <v>5076</v>
      </c>
      <c r="B25" s="100">
        <v>6130</v>
      </c>
    </row>
    <row r="26" spans="1:2" ht="12.75">
      <c r="A26" s="95">
        <v>5077</v>
      </c>
      <c r="B26" s="100">
        <v>6131</v>
      </c>
    </row>
    <row r="27" spans="1:2" ht="12.75">
      <c r="A27" s="95">
        <v>5078</v>
      </c>
      <c r="B27" s="100">
        <v>6132</v>
      </c>
    </row>
    <row r="28" spans="1:2" ht="12.75">
      <c r="A28" s="96">
        <v>5090</v>
      </c>
      <c r="B28" s="100">
        <v>6133</v>
      </c>
    </row>
    <row r="29" spans="1:2" ht="12.75">
      <c r="A29" s="95">
        <v>5091</v>
      </c>
      <c r="B29" s="100">
        <v>6139</v>
      </c>
    </row>
    <row r="30" spans="1:2" ht="12.75">
      <c r="A30" s="95">
        <v>5093</v>
      </c>
      <c r="B30" s="100">
        <v>6150</v>
      </c>
    </row>
    <row r="31" spans="1:2" ht="12.75">
      <c r="A31" s="95">
        <v>5095</v>
      </c>
      <c r="B31" s="100">
        <v>6151</v>
      </c>
    </row>
    <row r="32" spans="1:2" ht="12.75">
      <c r="A32" s="95">
        <v>5099</v>
      </c>
      <c r="B32" s="100">
        <v>6152</v>
      </c>
    </row>
    <row r="33" spans="1:2" ht="12.75">
      <c r="A33" s="95">
        <v>5110</v>
      </c>
      <c r="B33" s="100">
        <v>6153</v>
      </c>
    </row>
    <row r="34" spans="1:2" ht="12.75">
      <c r="A34" s="95">
        <v>5111</v>
      </c>
      <c r="B34" s="100">
        <v>6154</v>
      </c>
    </row>
    <row r="35" spans="1:2" ht="12.75">
      <c r="A35" s="95">
        <v>5112</v>
      </c>
      <c r="B35" s="100">
        <v>6155</v>
      </c>
    </row>
    <row r="36" spans="1:2" ht="12.75">
      <c r="A36" s="95">
        <v>5113</v>
      </c>
      <c r="B36" s="100">
        <v>6156</v>
      </c>
    </row>
    <row r="37" spans="1:2" ht="12.75">
      <c r="A37" s="95">
        <v>5114</v>
      </c>
      <c r="B37" s="100">
        <v>6157</v>
      </c>
    </row>
    <row r="38" spans="1:2" ht="12.75">
      <c r="A38" s="95">
        <v>5115</v>
      </c>
      <c r="B38" s="100">
        <v>6159</v>
      </c>
    </row>
    <row r="39" spans="1:2" ht="12.75">
      <c r="A39" s="95">
        <v>5116</v>
      </c>
      <c r="B39" s="100">
        <v>6170</v>
      </c>
    </row>
    <row r="40" spans="1:2" ht="12.75">
      <c r="A40" s="95">
        <v>5117</v>
      </c>
      <c r="B40" s="100">
        <v>6171</v>
      </c>
    </row>
    <row r="41" spans="1:2" ht="12.75">
      <c r="A41" s="95">
        <v>5119</v>
      </c>
      <c r="B41" s="100">
        <v>6172</v>
      </c>
    </row>
    <row r="42" spans="1:2" ht="12.75">
      <c r="A42" s="95">
        <v>5130</v>
      </c>
      <c r="B42" s="100">
        <v>6179</v>
      </c>
    </row>
    <row r="43" spans="1:2" ht="12.75">
      <c r="A43" s="95">
        <v>5131</v>
      </c>
      <c r="B43" s="94" t="s">
        <v>84</v>
      </c>
    </row>
    <row r="44" ht="12.75">
      <c r="A44" s="95">
        <v>5132</v>
      </c>
    </row>
    <row r="45" ht="12.75">
      <c r="A45" s="95">
        <v>5133</v>
      </c>
    </row>
    <row r="46" ht="12.75">
      <c r="A46" s="95">
        <v>5139</v>
      </c>
    </row>
    <row r="47" spans="1:2" ht="12.75">
      <c r="A47" s="97">
        <v>5154</v>
      </c>
      <c r="B47" s="101" t="s">
        <v>84</v>
      </c>
    </row>
    <row r="48" ht="12.75">
      <c r="A48" s="98">
        <v>5155</v>
      </c>
    </row>
    <row r="49" ht="12.75">
      <c r="A49" s="95">
        <v>5156</v>
      </c>
    </row>
    <row r="50" ht="12.75">
      <c r="A50" s="95">
        <v>5157</v>
      </c>
    </row>
    <row r="51" ht="12.75">
      <c r="A51" s="95">
        <v>5159</v>
      </c>
    </row>
    <row r="52" ht="12.75">
      <c r="A52" s="95">
        <v>5170</v>
      </c>
    </row>
    <row r="53" ht="12.75">
      <c r="A53" s="95">
        <v>5171</v>
      </c>
    </row>
    <row r="54" ht="12.75">
      <c r="A54" s="95">
        <v>5172</v>
      </c>
    </row>
    <row r="55" ht="12.75">
      <c r="A55" s="95">
        <v>5179</v>
      </c>
    </row>
    <row r="56" ht="12.75">
      <c r="A56" s="9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2010-03-15T06:55:17Z</cp:lastPrinted>
  <dcterms:created xsi:type="dcterms:W3CDTF">2006-08-10T10:00:20Z</dcterms:created>
  <dcterms:modified xsi:type="dcterms:W3CDTF">2018-02-21T08:46:08Z</dcterms:modified>
  <cp:category/>
  <cp:version/>
  <cp:contentType/>
  <cp:contentStatus/>
</cp:coreProperties>
</file>